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080" windowHeight="13050"/>
  </bookViews>
  <sheets>
    <sheet name="光禄居委会" sheetId="1" r:id="rId1"/>
  </sheets>
  <definedNames>
    <definedName name="_xlnm.Print_Area" localSheetId="0">光禄居委会!$A$1:$I$138</definedName>
    <definedName name="_xlnm.Print_Titles" localSheetId="0">光禄居委会!$1:$3</definedName>
  </definedNames>
  <calcPr calcId="145621"/>
</workbook>
</file>

<file path=xl/calcChain.xml><?xml version="1.0" encoding="utf-8"?>
<calcChain xmlns="http://schemas.openxmlformats.org/spreadsheetml/2006/main">
  <c r="G137" i="1" l="1"/>
  <c r="H137" i="1" s="1"/>
  <c r="G33" i="1"/>
  <c r="H33" i="1" s="1"/>
  <c r="G138" i="1"/>
  <c r="H138" i="1" s="1"/>
  <c r="G136" i="1"/>
  <c r="H136" i="1" s="1"/>
  <c r="H135" i="1"/>
  <c r="G135" i="1"/>
  <c r="G134" i="1"/>
  <c r="H134" i="1" s="1"/>
  <c r="G133" i="1"/>
  <c r="H133" i="1" s="1"/>
  <c r="G132" i="1"/>
  <c r="G130" i="1"/>
  <c r="H130" i="1" s="1"/>
  <c r="H129" i="1"/>
  <c r="G129" i="1"/>
  <c r="G128" i="1"/>
  <c r="H128" i="1" s="1"/>
  <c r="G127" i="1"/>
  <c r="H127" i="1" s="1"/>
  <c r="G126" i="1"/>
  <c r="G124" i="1"/>
  <c r="H124" i="1" s="1"/>
  <c r="H123" i="1"/>
  <c r="G123" i="1"/>
  <c r="G122" i="1"/>
  <c r="H122" i="1" s="1"/>
  <c r="G121" i="1"/>
  <c r="H121" i="1" s="1"/>
  <c r="G120" i="1"/>
  <c r="H120" i="1" s="1"/>
  <c r="G119" i="1"/>
  <c r="H119" i="1" s="1"/>
  <c r="G118" i="1"/>
  <c r="H118" i="1" s="1"/>
  <c r="H117" i="1"/>
  <c r="G117" i="1"/>
  <c r="G116" i="1"/>
  <c r="H116" i="1" s="1"/>
  <c r="H115" i="1"/>
  <c r="G115" i="1"/>
  <c r="G114" i="1"/>
  <c r="H114" i="1" s="1"/>
  <c r="G113" i="1"/>
  <c r="H113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E99" i="1"/>
  <c r="H99" i="1" s="1"/>
  <c r="G99" i="1" s="1"/>
  <c r="H98" i="1"/>
  <c r="E98" i="1"/>
  <c r="H95" i="1"/>
  <c r="G95" i="1"/>
  <c r="H94" i="1"/>
  <c r="G94" i="1" s="1"/>
  <c r="H93" i="1"/>
  <c r="G93" i="1"/>
  <c r="H92" i="1"/>
  <c r="G92" i="1" s="1"/>
  <c r="H91" i="1"/>
  <c r="G91" i="1"/>
  <c r="H90" i="1"/>
  <c r="G90" i="1" s="1"/>
  <c r="H89" i="1"/>
  <c r="G89" i="1"/>
  <c r="H88" i="1"/>
  <c r="G88" i="1" s="1"/>
  <c r="H87" i="1"/>
  <c r="G87" i="1"/>
  <c r="H86" i="1"/>
  <c r="G86" i="1" s="1"/>
  <c r="H85" i="1"/>
  <c r="G85" i="1"/>
  <c r="H84" i="1"/>
  <c r="G84" i="1" s="1"/>
  <c r="H83" i="1"/>
  <c r="G83" i="1"/>
  <c r="H82" i="1"/>
  <c r="G82" i="1" s="1"/>
  <c r="H81" i="1"/>
  <c r="G81" i="1" s="1"/>
  <c r="H79" i="1"/>
  <c r="G79" i="1" s="1"/>
  <c r="E79" i="1"/>
  <c r="E78" i="1"/>
  <c r="H78" i="1" s="1"/>
  <c r="G78" i="1" s="1"/>
  <c r="H77" i="1"/>
  <c r="G77" i="1" s="1"/>
  <c r="H76" i="1"/>
  <c r="G76" i="1"/>
  <c r="E75" i="1"/>
  <c r="H75" i="1" s="1"/>
  <c r="G75" i="1" s="1"/>
  <c r="E74" i="1"/>
  <c r="H74" i="1" s="1"/>
  <c r="G74" i="1" s="1"/>
  <c r="H73" i="1"/>
  <c r="G73" i="1"/>
  <c r="E72" i="1"/>
  <c r="H72" i="1" s="1"/>
  <c r="G72" i="1" s="1"/>
  <c r="E71" i="1"/>
  <c r="H71" i="1" s="1"/>
  <c r="G71" i="1" s="1"/>
  <c r="H70" i="1"/>
  <c r="G70" i="1" s="1"/>
  <c r="E70" i="1"/>
  <c r="E69" i="1"/>
  <c r="H69" i="1" s="1"/>
  <c r="G69" i="1" s="1"/>
  <c r="E68" i="1"/>
  <c r="H68" i="1" s="1"/>
  <c r="G68" i="1" s="1"/>
  <c r="E67" i="1"/>
  <c r="H67" i="1" s="1"/>
  <c r="G67" i="1" s="1"/>
  <c r="H66" i="1"/>
  <c r="G66" i="1"/>
  <c r="E66" i="1"/>
  <c r="E65" i="1"/>
  <c r="H65" i="1" s="1"/>
  <c r="G65" i="1" s="1"/>
  <c r="E64" i="1"/>
  <c r="H64" i="1" s="1"/>
  <c r="G64" i="1" s="1"/>
  <c r="H63" i="1"/>
  <c r="G63" i="1" s="1"/>
  <c r="E63" i="1"/>
  <c r="E62" i="1"/>
  <c r="H62" i="1" s="1"/>
  <c r="G62" i="1" s="1"/>
  <c r="E61" i="1"/>
  <c r="H61" i="1" s="1"/>
  <c r="G61" i="1" s="1"/>
  <c r="E60" i="1"/>
  <c r="H60" i="1" s="1"/>
  <c r="G60" i="1" s="1"/>
  <c r="E59" i="1"/>
  <c r="H59" i="1" s="1"/>
  <c r="G59" i="1" s="1"/>
  <c r="E58" i="1"/>
  <c r="H58" i="1" s="1"/>
  <c r="G58" i="1" s="1"/>
  <c r="E57" i="1"/>
  <c r="H57" i="1" s="1"/>
  <c r="G57" i="1" s="1"/>
  <c r="E56" i="1"/>
  <c r="H56" i="1" s="1"/>
  <c r="G56" i="1" s="1"/>
  <c r="E55" i="1"/>
  <c r="H55" i="1" s="1"/>
  <c r="G55" i="1" s="1"/>
  <c r="H54" i="1"/>
  <c r="G54" i="1" s="1"/>
  <c r="E54" i="1"/>
  <c r="E53" i="1"/>
  <c r="H53" i="1" s="1"/>
  <c r="G53" i="1" s="1"/>
  <c r="E52" i="1"/>
  <c r="H52" i="1" s="1"/>
  <c r="G52" i="1" s="1"/>
  <c r="H51" i="1"/>
  <c r="G51" i="1" s="1"/>
  <c r="E51" i="1"/>
  <c r="E50" i="1"/>
  <c r="H50" i="1" s="1"/>
  <c r="G50" i="1" s="1"/>
  <c r="E49" i="1"/>
  <c r="H49" i="1" s="1"/>
  <c r="G49" i="1" s="1"/>
  <c r="E48" i="1"/>
  <c r="H48" i="1" s="1"/>
  <c r="G48" i="1" s="1"/>
  <c r="G45" i="1"/>
  <c r="H45" i="1" s="1"/>
  <c r="E44" i="1"/>
  <c r="G44" i="1" s="1"/>
  <c r="H44" i="1" s="1"/>
  <c r="G43" i="1"/>
  <c r="H43" i="1" s="1"/>
  <c r="H42" i="1"/>
  <c r="G42" i="1"/>
  <c r="E41" i="1"/>
  <c r="G41" i="1" s="1"/>
  <c r="H41" i="1" s="1"/>
  <c r="G40" i="1"/>
  <c r="H40" i="1" s="1"/>
  <c r="G39" i="1"/>
  <c r="H39" i="1" s="1"/>
  <c r="G38" i="1"/>
  <c r="H38" i="1" s="1"/>
  <c r="E37" i="1"/>
  <c r="G37" i="1" s="1"/>
  <c r="H37" i="1" s="1"/>
  <c r="G36" i="1"/>
  <c r="H36" i="1" s="1"/>
  <c r="E35" i="1"/>
  <c r="G35" i="1" s="1"/>
  <c r="H35" i="1" s="1"/>
  <c r="E34" i="1"/>
  <c r="G34" i="1" s="1"/>
  <c r="H34" i="1" s="1"/>
  <c r="E32" i="1"/>
  <c r="G32" i="1" s="1"/>
  <c r="H32" i="1" s="1"/>
  <c r="G31" i="1"/>
  <c r="H31" i="1" s="1"/>
  <c r="E30" i="1"/>
  <c r="G30" i="1" s="1"/>
  <c r="H30" i="1" s="1"/>
  <c r="E29" i="1"/>
  <c r="G29" i="1" s="1"/>
  <c r="H29" i="1" s="1"/>
  <c r="E28" i="1"/>
  <c r="G28" i="1" s="1"/>
  <c r="H28" i="1" s="1"/>
  <c r="E27" i="1"/>
  <c r="G27" i="1" s="1"/>
  <c r="H27" i="1" s="1"/>
  <c r="G26" i="1"/>
  <c r="H26" i="1" s="1"/>
  <c r="E26" i="1"/>
  <c r="E25" i="1"/>
  <c r="G25" i="1" s="1"/>
  <c r="H25" i="1" s="1"/>
  <c r="E24" i="1"/>
  <c r="G24" i="1" s="1"/>
  <c r="H24" i="1" s="1"/>
  <c r="E23" i="1"/>
  <c r="G23" i="1" s="1"/>
  <c r="H23" i="1" s="1"/>
  <c r="E21" i="1"/>
  <c r="G21" i="1" s="1"/>
  <c r="H21" i="1" s="1"/>
  <c r="G20" i="1"/>
  <c r="H20" i="1" s="1"/>
  <c r="E19" i="1"/>
  <c r="G19" i="1" s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E10" i="1"/>
  <c r="H9" i="1"/>
  <c r="G9" i="1"/>
  <c r="E8" i="1"/>
  <c r="G8" i="1" s="1"/>
  <c r="H8" i="1" s="1"/>
  <c r="E7" i="1"/>
  <c r="G7" i="1" s="1"/>
  <c r="G80" i="1" l="1"/>
  <c r="H80" i="1" s="1"/>
  <c r="G125" i="1"/>
  <c r="H125" i="1" s="1"/>
  <c r="G131" i="1"/>
  <c r="H131" i="1" s="1"/>
  <c r="H7" i="1"/>
  <c r="G10" i="1"/>
  <c r="G6" i="1" s="1"/>
  <c r="G5" i="1" s="1"/>
  <c r="H10" i="1"/>
  <c r="H6" i="1" s="1"/>
  <c r="H5" i="1" s="1"/>
  <c r="H47" i="1"/>
  <c r="H97" i="1"/>
  <c r="G98" i="1"/>
  <c r="H22" i="1"/>
  <c r="G22" i="1" s="1"/>
  <c r="G101" i="1"/>
  <c r="G112" i="1"/>
  <c r="H112" i="1" s="1"/>
  <c r="H126" i="1"/>
  <c r="H132" i="1"/>
  <c r="G97" i="1"/>
  <c r="I19" i="1"/>
  <c r="H19" i="1"/>
  <c r="H18" i="1" l="1"/>
  <c r="G18" i="1" s="1"/>
  <c r="G100" i="1"/>
  <c r="H100" i="1" s="1"/>
  <c r="H96" i="1" s="1"/>
  <c r="G96" i="1" s="1"/>
  <c r="H101" i="1"/>
  <c r="H46" i="1"/>
  <c r="G46" i="1" s="1"/>
  <c r="G47" i="1"/>
  <c r="H4" i="1"/>
  <c r="G4" i="1" s="1"/>
</calcChain>
</file>

<file path=xl/sharedStrings.xml><?xml version="1.0" encoding="utf-8"?>
<sst xmlns="http://schemas.openxmlformats.org/spreadsheetml/2006/main" count="358" uniqueCount="221">
  <si>
    <t>序号</t>
  </si>
  <si>
    <t>项目名称</t>
  </si>
  <si>
    <t>建设内容及规格尺寸</t>
  </si>
  <si>
    <t>单位</t>
  </si>
  <si>
    <t>数量</t>
  </si>
  <si>
    <t>合计</t>
  </si>
  <si>
    <t>一</t>
  </si>
  <si>
    <t>提升人居环境</t>
  </si>
  <si>
    <t>（一）</t>
  </si>
  <si>
    <t>朝阳二组</t>
  </si>
  <si>
    <t>朝阳二组组内配套设施</t>
  </si>
  <si>
    <t>C20砼垫层</t>
  </si>
  <si>
    <t>C20砼浇筑道路长150m，宽4.4m</t>
  </si>
  <si>
    <t>C20砼浇筑道路长150m，宽5m</t>
  </si>
  <si>
    <t>朝阳基础设施</t>
  </si>
  <si>
    <t>房屋前小块（25cm*50cm*4cm）</t>
  </si>
  <si>
    <t>㎡</t>
  </si>
  <si>
    <t>土方开挖外运、换土回填</t>
  </si>
  <si>
    <t>PVC埋设安装</t>
  </si>
  <si>
    <t>PVC100污水管埋设安装</t>
  </si>
  <si>
    <t>m</t>
  </si>
  <si>
    <t>PVC100污水管购置</t>
  </si>
  <si>
    <t>污水井</t>
  </si>
  <si>
    <t>污水井（直径1.2m，高2.5m）</t>
  </si>
  <si>
    <t>个</t>
  </si>
  <si>
    <t>雨水井</t>
  </si>
  <si>
    <t>雨水井（直径1.2m，高2.5m）</t>
  </si>
  <si>
    <t>污水管</t>
  </si>
  <si>
    <t>DN400mm污水管购置埋设安装</t>
  </si>
  <si>
    <t>雨水管</t>
  </si>
  <si>
    <t>DN600mm雨水管购置埋设安装</t>
  </si>
  <si>
    <t>（二）</t>
  </si>
  <si>
    <t>路灯</t>
  </si>
  <si>
    <t>太阳能路灯</t>
  </si>
  <si>
    <t>盏</t>
  </si>
  <si>
    <t>二</t>
  </si>
  <si>
    <t>扶持村级集体经济发展</t>
  </si>
  <si>
    <t>发展荷花印象庄园建设</t>
  </si>
  <si>
    <t>荷花印象庄园土地开挖</t>
  </si>
  <si>
    <t>荷塘开挖长210.5m，130.5m，厚1.31m</t>
  </si>
  <si>
    <t>m³</t>
  </si>
  <si>
    <t>下段坝基清挖长795.8m，宽14m，厚0.5m</t>
  </si>
  <si>
    <t>回填碾压整形</t>
  </si>
  <si>
    <t>回填碾压：停车场长121m，宽30m，厚1.8m；坝体长795.8m，宽8m，厚3m；坝基长795.8m，宽14m，厚0.5m；道路拼宽480m，宽2m，厚3m</t>
  </si>
  <si>
    <t>荷花印象庄园建设</t>
  </si>
  <si>
    <t>新建集餐饮休闲于一体的荷花印象庄园1314.3m²及配套设施</t>
  </si>
  <si>
    <t>m²</t>
  </si>
  <si>
    <t>主体房屋建设</t>
  </si>
  <si>
    <t>主体钢架结构房屋长8.7m，宽8.7m，2间；长8.7m，宽7.2m，1间（上青瓦）</t>
  </si>
  <si>
    <t>厢房建设</t>
  </si>
  <si>
    <t>钢架结构房屋长7.2m，宽7.2m，2边每边2间，上青瓦</t>
  </si>
  <si>
    <t>主房、厢房天井建设</t>
  </si>
  <si>
    <t>建设主房天井长8.7m，宽8.7m，2个；厢房天井长7.2m，宽6m，2个</t>
  </si>
  <si>
    <t>卫生间建设</t>
  </si>
  <si>
    <t>建设卫生间长7.2m，宽4.8m，1间</t>
  </si>
  <si>
    <t>杂物间建设</t>
  </si>
  <si>
    <t>建设杂物间长7.2m，宽4.8m，1间</t>
  </si>
  <si>
    <t>花台建设</t>
  </si>
  <si>
    <t>建设花台长3.65m，宽1.4m，4个；长7.3m，宽1.4m，4个</t>
  </si>
  <si>
    <t>走廊建设</t>
  </si>
  <si>
    <t>建设走廊长47.4，宽1.5m</t>
  </si>
  <si>
    <t>庭院建设</t>
  </si>
  <si>
    <t>C20砼浇筑长18.6m，宽m12.9m；长18.6m，宽6m</t>
  </si>
  <si>
    <t>影壁</t>
  </si>
  <si>
    <t>一字影壁高3.5m</t>
  </si>
  <si>
    <t>院墙</t>
  </si>
  <si>
    <t>院墙长150m，高2.5m，厚0.24mm</t>
  </si>
  <si>
    <t>大门</t>
  </si>
  <si>
    <t>大门一道</t>
  </si>
  <si>
    <t>道</t>
  </si>
  <si>
    <t>房屋周围基础建设</t>
  </si>
  <si>
    <t>M7.5浆砌石支砌长190.2m，顶宽0.5m，高3.6m</t>
  </si>
  <si>
    <t>房屋土方回填</t>
  </si>
  <si>
    <t>房屋长35.6m，宽33.7m，厚2.5m；</t>
  </si>
  <si>
    <t>绿化树</t>
  </si>
  <si>
    <t>荷塘四周、房屋四周、栈道两边种植5-7cm柳树</t>
  </si>
  <si>
    <t>株</t>
  </si>
  <si>
    <t>荷花印象庄园游道</t>
  </si>
  <si>
    <t>南北向木塑材料游道140m，宽2.5m</t>
  </si>
  <si>
    <t>溢洪道出水口</t>
  </si>
  <si>
    <t>溢洪道M7.5浆砌石支砌长20m，高1m，2边</t>
  </si>
  <si>
    <t>溢洪道底板浇筑长20m，宽0.5m，厚0.1m</t>
  </si>
  <si>
    <t>800mm涵管</t>
  </si>
  <si>
    <t>长30m</t>
  </si>
  <si>
    <t>内坝坡浆砌石</t>
  </si>
  <si>
    <t>M7.5浆砌石支砌内坝坡长140m，高1.75m</t>
  </si>
  <si>
    <t>坝坡外排水沟浆砌石</t>
  </si>
  <si>
    <t>M7.5浆砌石支砌坝坡外排水沟长140m，高1.5m</t>
  </si>
  <si>
    <t>钢板闸2个</t>
  </si>
  <si>
    <t>进水口、出水口钢板闸2个</t>
  </si>
  <si>
    <t>荷花印象庄园停车场泥结石</t>
  </si>
  <si>
    <t>泥结石停车场长127m，宽33m</t>
  </si>
  <si>
    <t>荷花印象庄园停车场栏杆</t>
  </si>
  <si>
    <t>停车场不锈钢栏杆长127m</t>
  </si>
  <si>
    <t>三</t>
  </si>
  <si>
    <t>提升农村公共服务水平</t>
  </si>
  <si>
    <t>居委会基础设施建设</t>
  </si>
  <si>
    <t>(一）</t>
  </si>
  <si>
    <t>居委会公共设施</t>
  </si>
  <si>
    <t>居委会公共基础设施建设</t>
  </si>
  <si>
    <t>C20砼浇筑场院长18.5m，宽8.1m</t>
  </si>
  <si>
    <t>C20砼浇筑通道长15.7m，宽3m</t>
  </si>
  <si>
    <t>C20砼浇筑通道长18.9m，宽6.4m</t>
  </si>
  <si>
    <t>C20砼浇筑通道2条长2.4m，宽1.7m</t>
  </si>
  <si>
    <t>C20砼浇筑通道长21m，宽2.9m</t>
  </si>
  <si>
    <t>C20砼浇筑通道2条长2m，宽1.2m</t>
  </si>
  <si>
    <t>厨房前砼地板</t>
  </si>
  <si>
    <t>C20砼浇筑路面</t>
  </si>
  <si>
    <t>预制水泥块铺设</t>
  </si>
  <si>
    <t>水泥块长17.8m，宽1m</t>
  </si>
  <si>
    <t>水泥块长3.8m，宽0.5m</t>
  </si>
  <si>
    <t>花台间水泥块长38m，宽1m</t>
  </si>
  <si>
    <t>花台间水泥块长36m，宽1m</t>
  </si>
  <si>
    <t>花台间水泥块长115.3m，宽1m</t>
  </si>
  <si>
    <t>小块下面砼</t>
  </si>
  <si>
    <t>院墙粉刷</t>
  </si>
  <si>
    <t>排污沟</t>
  </si>
  <si>
    <t>小块</t>
  </si>
  <si>
    <t>路沿石</t>
  </si>
  <si>
    <t>花台</t>
  </si>
  <si>
    <t>花台9个，每个周长4.8m</t>
  </si>
  <si>
    <t>厨房</t>
  </si>
  <si>
    <t>新建厨房一个</t>
  </si>
  <si>
    <t>新建院墙</t>
  </si>
  <si>
    <t>C20砼</t>
  </si>
  <si>
    <t>C20砼地板</t>
  </si>
  <si>
    <t>C2砼</t>
  </si>
  <si>
    <t>其他</t>
  </si>
  <si>
    <t>门一道</t>
  </si>
  <si>
    <t>绿化美化</t>
  </si>
  <si>
    <t>感党恩教育基地绿化美化</t>
  </si>
  <si>
    <t>刺桐树</t>
  </si>
  <si>
    <t>15cm</t>
  </si>
  <si>
    <t>棵</t>
  </si>
  <si>
    <t>滇朴树</t>
  </si>
  <si>
    <t>玉兰树</t>
  </si>
  <si>
    <t>清香木树</t>
  </si>
  <si>
    <t>海澡树</t>
  </si>
  <si>
    <t>60-70cm</t>
  </si>
  <si>
    <t>小叶冬青树</t>
  </si>
  <si>
    <t>含笑树</t>
  </si>
  <si>
    <t>紫微树</t>
  </si>
  <si>
    <t>蓝花盈树</t>
  </si>
  <si>
    <t>栾树</t>
  </si>
  <si>
    <t>球花石兰树</t>
  </si>
  <si>
    <t>金桂树</t>
  </si>
  <si>
    <t>5cm</t>
  </si>
  <si>
    <t>小叶女贞-小灌木</t>
  </si>
  <si>
    <t>6-7cm</t>
  </si>
  <si>
    <t>地被</t>
  </si>
  <si>
    <t>2190.8平方米</t>
  </si>
  <si>
    <t>绿蓠</t>
  </si>
  <si>
    <t>感党恩教育基地外围绿蓠</t>
  </si>
  <si>
    <t>四</t>
  </si>
  <si>
    <t>支持农村基层组织建设</t>
  </si>
  <si>
    <t>居委会感党恩教育基地建设文化长廊</t>
  </si>
  <si>
    <t>文化长廊</t>
  </si>
  <si>
    <t>文化长廊长50.5m，宽3.7m</t>
  </si>
  <si>
    <t>文化长廊长四周雕花</t>
  </si>
  <si>
    <t>感党恩教育展示厅</t>
  </si>
  <si>
    <t>感党恩教育基地展厅配套建设</t>
  </si>
  <si>
    <t>基础装修部分</t>
  </si>
  <si>
    <t>感党恩教育基地基础装修部分</t>
  </si>
  <si>
    <t>墙体拆除</t>
  </si>
  <si>
    <t>项</t>
  </si>
  <si>
    <t>补窗子</t>
  </si>
  <si>
    <t>轻钢龙骨石膏板造型隔墙</t>
  </si>
  <si>
    <t>玻璃展示柜</t>
  </si>
  <si>
    <t>石膏板基层处理、批灰</t>
  </si>
  <si>
    <t>腻子粉</t>
  </si>
  <si>
    <t>立邦高级乳胶漆</t>
  </si>
  <si>
    <t>贴地角线，墙砖</t>
  </si>
  <si>
    <t>电路及开关插座</t>
  </si>
  <si>
    <t>筒灯</t>
  </si>
  <si>
    <t>室内制作安装及杂项</t>
  </si>
  <si>
    <t>条</t>
  </si>
  <si>
    <t>海信4K智能65吋电视机</t>
  </si>
  <si>
    <t>台</t>
  </si>
  <si>
    <t>展出用书(册)</t>
  </si>
  <si>
    <t>批</t>
  </si>
  <si>
    <t>党徽</t>
  </si>
  <si>
    <t>㎝</t>
  </si>
  <si>
    <t>心中有信仰脚下有力量</t>
  </si>
  <si>
    <t>光禄镇感党恩教育基地</t>
  </si>
  <si>
    <t>钢结构党旗</t>
  </si>
  <si>
    <t>核心力量共产党</t>
  </si>
  <si>
    <t>不忘初心牢记使命</t>
  </si>
  <si>
    <t>美好生活的向往</t>
  </si>
  <si>
    <t>墙面立体展板</t>
  </si>
  <si>
    <t>文化长廊内部装饰</t>
  </si>
  <si>
    <t>大蝴蝶结装饰</t>
  </si>
  <si>
    <t>小蝴蝶结装饰</t>
  </si>
  <si>
    <t>展板</t>
  </si>
  <si>
    <t>块</t>
  </si>
  <si>
    <t>党旗装饰</t>
  </si>
  <si>
    <t>写真画</t>
  </si>
  <si>
    <t>张</t>
  </si>
  <si>
    <t>楼顶灯珠字</t>
  </si>
  <si>
    <t>党徽红色灯珠</t>
  </si>
  <si>
    <t>党徽改黄色灯珠</t>
  </si>
  <si>
    <t>背部钢架</t>
  </si>
  <si>
    <t>电路</t>
  </si>
  <si>
    <t>垃圾清运费</t>
  </si>
  <si>
    <t>（三）</t>
  </si>
  <si>
    <t>宣传展板一块</t>
  </si>
  <si>
    <r>
      <t>m</t>
    </r>
    <r>
      <rPr>
        <vertAlign val="superscript"/>
        <sz val="12"/>
        <color theme="1"/>
        <rFont val="Times New Roman"/>
        <family val="1"/>
      </rPr>
      <t>3</t>
    </r>
  </si>
  <si>
    <r>
      <t>C20</t>
    </r>
    <r>
      <rPr>
        <sz val="12"/>
        <color theme="1"/>
        <rFont val="宋体"/>
        <family val="3"/>
        <charset val="134"/>
      </rPr>
      <t>砼场所</t>
    </r>
  </si>
  <si>
    <r>
      <t>100</t>
    </r>
    <r>
      <rPr>
        <sz val="12"/>
        <rFont val="SimSun"/>
        <charset val="134"/>
      </rPr>
      <t>㎝</t>
    </r>
    <r>
      <rPr>
        <sz val="12"/>
        <rFont val="宋体"/>
        <family val="3"/>
        <charset val="134"/>
      </rPr>
      <t>长实木凳子</t>
    </r>
  </si>
  <si>
    <r>
      <t>展板长12</t>
    </r>
    <r>
      <rPr>
        <sz val="12"/>
        <rFont val="Times New Roman"/>
        <family val="1"/>
      </rPr>
      <t>m</t>
    </r>
    <r>
      <rPr>
        <sz val="12"/>
        <rFont val="宋体"/>
        <family val="3"/>
        <charset val="134"/>
      </rPr>
      <t>，宽4</t>
    </r>
    <r>
      <rPr>
        <sz val="12"/>
        <rFont val="Times New Roman"/>
        <family val="1"/>
      </rPr>
      <t>m</t>
    </r>
  </si>
  <si>
    <t>居委会感党恩教育基地建设</t>
    <phoneticPr fontId="14" type="noConversion"/>
  </si>
  <si>
    <t>姚安县光禄镇光禄社区2017年村级四位一体建设试点项目投资计划表</t>
    <phoneticPr fontId="14" type="noConversion"/>
  </si>
  <si>
    <t>单价（元）</t>
    <phoneticPr fontId="14" type="noConversion"/>
  </si>
  <si>
    <r>
      <t>总投资</t>
    </r>
    <r>
      <rPr>
        <sz val="12"/>
        <rFont val="Times New Roman"/>
        <family val="1"/>
      </rPr>
      <t xml:space="preserve">          </t>
    </r>
    <r>
      <rPr>
        <sz val="12"/>
        <rFont val="宋体"/>
        <family val="3"/>
        <charset val="134"/>
      </rPr>
      <t>（万元）</t>
    </r>
    <phoneticPr fontId="14" type="noConversion"/>
  </si>
  <si>
    <t>中央和省级资金（万元）</t>
    <phoneticPr fontId="14" type="noConversion"/>
  </si>
  <si>
    <t>整合资金（万元）</t>
    <phoneticPr fontId="14" type="noConversion"/>
  </si>
  <si>
    <t>土方开挖</t>
    <phoneticPr fontId="14" type="noConversion"/>
  </si>
  <si>
    <t>土方开挖</t>
    <phoneticPr fontId="14" type="noConversion"/>
  </si>
  <si>
    <t>外运红土回填（绿化用土）</t>
    <phoneticPr fontId="14" type="noConversion"/>
  </si>
  <si>
    <t>外运红土回填</t>
    <phoneticPr fontId="14" type="noConversion"/>
  </si>
  <si>
    <t>长廊边绿化长50.5m，宽0.35m</t>
    <phoneticPr fontId="14" type="noConversion"/>
  </si>
  <si>
    <t>长廊边绿化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</si>
</sst>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;[Red]0"/>
    <numFmt numFmtId="177" formatCode="0.00;[Red]0.00"/>
    <numFmt numFmtId="178" formatCode="0.00_);[Red]\(0.00\)"/>
    <numFmt numFmtId="179" formatCode="0.00_ "/>
    <numFmt numFmtId="180" formatCode="0.0;[Red]0.0"/>
    <numFmt numFmtId="181" formatCode="0.00;_Ć"/>
    <numFmt numFmtId="182" formatCode="0.0_ "/>
  </numFmts>
  <fonts count="1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Times New Roman"/>
    </font>
    <font>
      <b/>
      <sz val="12"/>
      <name val="Times New Roman"/>
    </font>
    <font>
      <sz val="12"/>
      <color indexed="8"/>
      <name val="Times New Roman"/>
    </font>
    <font>
      <sz val="12"/>
      <name val="Times New Roman"/>
    </font>
    <font>
      <sz val="14"/>
      <name val="Times New Roman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vertAlign val="superscript"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SimSun"/>
      <charset val="134"/>
    </font>
    <font>
      <sz val="12"/>
      <name val="宋体"/>
      <family val="3"/>
      <charset val="134"/>
    </font>
    <font>
      <sz val="12"/>
      <name val="SimSun"/>
      <charset val="134"/>
    </font>
    <font>
      <sz val="9"/>
      <name val="宋体"/>
      <family val="3"/>
      <charset val="134"/>
      <scheme val="minor"/>
    </font>
    <font>
      <sz val="12"/>
      <color indexed="8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79" fontId="12" fillId="3" borderId="1" xfId="0" applyNumberFormat="1" applyFont="1" applyFill="1" applyBorder="1" applyAlignment="1">
      <alignment horizontal="center" vertical="center" wrapText="1"/>
    </xf>
    <xf numFmtId="179" fontId="7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9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82" fontId="12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179" fontId="10" fillId="3" borderId="1" xfId="0" applyNumberFormat="1" applyFont="1" applyFill="1" applyBorder="1" applyAlignment="1">
      <alignment horizontal="center" vertical="center" wrapText="1"/>
    </xf>
    <xf numFmtId="178" fontId="7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9" fontId="12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8" fontId="12" fillId="3" borderId="1" xfId="0" applyNumberFormat="1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 wrapText="1"/>
    </xf>
    <xf numFmtId="178" fontId="12" fillId="0" borderId="1" xfId="1" applyNumberFormat="1" applyFont="1" applyFill="1" applyBorder="1" applyAlignment="1">
      <alignment horizontal="center" vertical="center" wrapText="1"/>
    </xf>
    <xf numFmtId="178" fontId="8" fillId="0" borderId="1" xfId="1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38"/>
  <sheetViews>
    <sheetView showZeros="0" tabSelected="1" zoomScale="85" zoomScaleNormal="85" workbookViewId="0">
      <selection activeCell="M7" sqref="M7"/>
    </sheetView>
  </sheetViews>
  <sheetFormatPr defaultColWidth="9" defaultRowHeight="18.75"/>
  <cols>
    <col min="1" max="1" width="8" style="5" customWidth="1"/>
    <col min="2" max="2" width="27.125" style="6" customWidth="1"/>
    <col min="3" max="3" width="60.625" style="5" customWidth="1"/>
    <col min="4" max="4" width="8.625" style="5" customWidth="1"/>
    <col min="5" max="5" width="14.5" style="64" customWidth="1"/>
    <col min="6" max="6" width="13" style="64" customWidth="1"/>
    <col min="7" max="8" width="15.625" style="7" customWidth="1"/>
    <col min="9" max="9" width="12.625" style="5" customWidth="1"/>
    <col min="10" max="10" width="9.375" style="5"/>
    <col min="11" max="13" width="12.625" style="5"/>
    <col min="14" max="16377" width="9" style="5"/>
    <col min="16378" max="16384" width="9" style="8"/>
  </cols>
  <sheetData>
    <row r="1" spans="1:16377" s="63" customFormat="1" ht="42" customHeight="1">
      <c r="A1" s="72" t="s">
        <v>210</v>
      </c>
      <c r="B1" s="73"/>
      <c r="C1" s="73"/>
      <c r="D1" s="73"/>
      <c r="E1" s="73"/>
      <c r="F1" s="73"/>
      <c r="G1" s="73"/>
      <c r="H1" s="73"/>
      <c r="I1" s="7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</row>
    <row r="2" spans="1:16377" ht="15.6" customHeight="1">
      <c r="A2" s="74" t="s">
        <v>0</v>
      </c>
      <c r="B2" s="74" t="s">
        <v>1</v>
      </c>
      <c r="C2" s="74" t="s">
        <v>2</v>
      </c>
      <c r="D2" s="74" t="s">
        <v>3</v>
      </c>
      <c r="E2" s="81" t="s">
        <v>4</v>
      </c>
      <c r="F2" s="81" t="s">
        <v>211</v>
      </c>
      <c r="G2" s="74" t="s">
        <v>212</v>
      </c>
      <c r="H2" s="74" t="s">
        <v>213</v>
      </c>
      <c r="I2" s="74" t="s">
        <v>214</v>
      </c>
    </row>
    <row r="3" spans="1:16377" ht="26.25" customHeight="1">
      <c r="A3" s="75"/>
      <c r="B3" s="75"/>
      <c r="C3" s="75"/>
      <c r="D3" s="75"/>
      <c r="E3" s="82"/>
      <c r="F3" s="82"/>
      <c r="G3" s="75"/>
      <c r="H3" s="75"/>
      <c r="I3" s="75"/>
    </row>
    <row r="4" spans="1:16377" ht="24.95" customHeight="1">
      <c r="A4" s="9"/>
      <c r="B4" s="14" t="s">
        <v>5</v>
      </c>
      <c r="C4" s="9"/>
      <c r="D4" s="9"/>
      <c r="E4" s="11"/>
      <c r="F4" s="11"/>
      <c r="G4" s="12">
        <f>H4+I4</f>
        <v>500.27496910999997</v>
      </c>
      <c r="H4" s="12">
        <f>H5+H18+H46+H96</f>
        <v>500.00496910999999</v>
      </c>
      <c r="I4" s="12">
        <v>0.27</v>
      </c>
    </row>
    <row r="5" spans="1:16377" ht="24.95" customHeight="1">
      <c r="A5" s="14" t="s">
        <v>6</v>
      </c>
      <c r="B5" s="14" t="s">
        <v>7</v>
      </c>
      <c r="C5" s="9"/>
      <c r="D5" s="9"/>
      <c r="E5" s="11"/>
      <c r="F5" s="11"/>
      <c r="G5" s="12">
        <f>G6+G17</f>
        <v>111.38340050000001</v>
      </c>
      <c r="H5" s="12">
        <f>H6+H17</f>
        <v>111.11340050000001</v>
      </c>
      <c r="I5" s="12">
        <v>0.27</v>
      </c>
      <c r="K5" s="53"/>
    </row>
    <row r="6" spans="1:16377" ht="24.95" customHeight="1">
      <c r="A6" s="14" t="s">
        <v>8</v>
      </c>
      <c r="B6" s="14" t="s">
        <v>9</v>
      </c>
      <c r="C6" s="14" t="s">
        <v>10</v>
      </c>
      <c r="D6" s="9"/>
      <c r="E6" s="11"/>
      <c r="F6" s="11"/>
      <c r="G6" s="12">
        <f>SUM(G7:G16)</f>
        <v>44.183400500000005</v>
      </c>
      <c r="H6" s="13">
        <f>SUM(H7:H16)</f>
        <v>43.913400500000009</v>
      </c>
      <c r="I6" s="12">
        <v>0.27</v>
      </c>
    </row>
    <row r="7" spans="1:16377" ht="24.95" customHeight="1">
      <c r="A7" s="9">
        <v>1</v>
      </c>
      <c r="B7" s="83" t="s">
        <v>11</v>
      </c>
      <c r="C7" s="10" t="s">
        <v>12</v>
      </c>
      <c r="D7" s="9" t="s">
        <v>205</v>
      </c>
      <c r="E7" s="11">
        <f>150*4.4*0.1</f>
        <v>66</v>
      </c>
      <c r="F7" s="11">
        <v>480</v>
      </c>
      <c r="G7" s="12">
        <f t="shared" ref="G7:G17" si="0">E7*F7/10000</f>
        <v>3.1680000000000001</v>
      </c>
      <c r="H7" s="13">
        <f t="shared" ref="H7:H17" si="1">E7*F7/10000</f>
        <v>3.1680000000000001</v>
      </c>
      <c r="I7" s="12"/>
    </row>
    <row r="8" spans="1:16377" ht="24.95" customHeight="1">
      <c r="A8" s="9">
        <v>2</v>
      </c>
      <c r="B8" s="83"/>
      <c r="C8" s="10" t="s">
        <v>13</v>
      </c>
      <c r="D8" s="9" t="s">
        <v>205</v>
      </c>
      <c r="E8" s="11">
        <f>150*5*0.1</f>
        <v>75</v>
      </c>
      <c r="F8" s="11">
        <v>480</v>
      </c>
      <c r="G8" s="12">
        <f t="shared" si="0"/>
        <v>3.6</v>
      </c>
      <c r="H8" s="13">
        <f>G8</f>
        <v>3.6</v>
      </c>
      <c r="I8" s="12"/>
    </row>
    <row r="9" spans="1:16377" ht="24.95" customHeight="1">
      <c r="A9" s="9">
        <v>3</v>
      </c>
      <c r="B9" s="14" t="s">
        <v>14</v>
      </c>
      <c r="C9" s="10" t="s">
        <v>15</v>
      </c>
      <c r="D9" s="14" t="s">
        <v>16</v>
      </c>
      <c r="E9" s="11">
        <v>1405.9349999999999</v>
      </c>
      <c r="F9" s="11">
        <v>123</v>
      </c>
      <c r="G9" s="12">
        <f t="shared" si="0"/>
        <v>17.293000500000002</v>
      </c>
      <c r="H9" s="13">
        <f>G9-I9</f>
        <v>17.023000500000002</v>
      </c>
      <c r="I9" s="12">
        <v>0.27</v>
      </c>
    </row>
    <row r="10" spans="1:16377" ht="24.95" customHeight="1">
      <c r="A10" s="9">
        <v>4</v>
      </c>
      <c r="B10" s="14" t="s">
        <v>14</v>
      </c>
      <c r="C10" s="10" t="s">
        <v>17</v>
      </c>
      <c r="D10" s="14" t="s">
        <v>16</v>
      </c>
      <c r="E10" s="11">
        <f>282/0.2</f>
        <v>1410</v>
      </c>
      <c r="F10" s="11">
        <v>28</v>
      </c>
      <c r="G10" s="12">
        <f t="shared" si="0"/>
        <v>3.948</v>
      </c>
      <c r="H10" s="13">
        <f t="shared" si="1"/>
        <v>3.948</v>
      </c>
      <c r="I10" s="12"/>
    </row>
    <row r="11" spans="1:16377" ht="24.95" customHeight="1">
      <c r="A11" s="9">
        <v>5</v>
      </c>
      <c r="B11" s="14" t="s">
        <v>18</v>
      </c>
      <c r="C11" s="14" t="s">
        <v>19</v>
      </c>
      <c r="D11" s="15" t="s">
        <v>20</v>
      </c>
      <c r="E11" s="11">
        <v>126</v>
      </c>
      <c r="F11" s="11">
        <v>12</v>
      </c>
      <c r="G11" s="12">
        <f t="shared" si="0"/>
        <v>0.1512</v>
      </c>
      <c r="H11" s="13">
        <f t="shared" si="1"/>
        <v>0.1512</v>
      </c>
      <c r="I11" s="12"/>
    </row>
    <row r="12" spans="1:16377" ht="24.95" customHeight="1">
      <c r="A12" s="9">
        <v>6</v>
      </c>
      <c r="B12" s="14" t="s">
        <v>18</v>
      </c>
      <c r="C12" s="14" t="s">
        <v>21</v>
      </c>
      <c r="D12" s="15" t="s">
        <v>20</v>
      </c>
      <c r="E12" s="11">
        <v>126</v>
      </c>
      <c r="F12" s="11">
        <v>32</v>
      </c>
      <c r="G12" s="12">
        <f t="shared" si="0"/>
        <v>0.4032</v>
      </c>
      <c r="H12" s="13">
        <f t="shared" si="1"/>
        <v>0.4032</v>
      </c>
      <c r="I12" s="12"/>
    </row>
    <row r="13" spans="1:16377" ht="24.95" customHeight="1">
      <c r="A13" s="9">
        <v>7</v>
      </c>
      <c r="B13" s="14" t="s">
        <v>22</v>
      </c>
      <c r="C13" s="14" t="s">
        <v>23</v>
      </c>
      <c r="D13" s="10" t="s">
        <v>24</v>
      </c>
      <c r="E13" s="11">
        <v>4</v>
      </c>
      <c r="F13" s="11">
        <v>1600</v>
      </c>
      <c r="G13" s="12">
        <f t="shared" si="0"/>
        <v>0.64</v>
      </c>
      <c r="H13" s="13">
        <f t="shared" si="1"/>
        <v>0.64</v>
      </c>
      <c r="I13" s="12"/>
    </row>
    <row r="14" spans="1:16377" ht="24.95" customHeight="1">
      <c r="A14" s="9">
        <v>8</v>
      </c>
      <c r="B14" s="14" t="s">
        <v>25</v>
      </c>
      <c r="C14" s="14" t="s">
        <v>26</v>
      </c>
      <c r="D14" s="10" t="s">
        <v>24</v>
      </c>
      <c r="E14" s="11">
        <v>4</v>
      </c>
      <c r="F14" s="11">
        <v>1600</v>
      </c>
      <c r="G14" s="12">
        <f t="shared" si="0"/>
        <v>0.64</v>
      </c>
      <c r="H14" s="13">
        <f t="shared" si="1"/>
        <v>0.64</v>
      </c>
      <c r="I14" s="12"/>
    </row>
    <row r="15" spans="1:16377" ht="24.95" customHeight="1">
      <c r="A15" s="9">
        <v>9</v>
      </c>
      <c r="B15" s="14" t="s">
        <v>27</v>
      </c>
      <c r="C15" s="14" t="s">
        <v>28</v>
      </c>
      <c r="D15" s="15" t="s">
        <v>20</v>
      </c>
      <c r="E15" s="11">
        <v>300</v>
      </c>
      <c r="F15" s="11">
        <v>200</v>
      </c>
      <c r="G15" s="12">
        <f t="shared" si="0"/>
        <v>6</v>
      </c>
      <c r="H15" s="13">
        <f t="shared" si="1"/>
        <v>6</v>
      </c>
      <c r="I15" s="12"/>
    </row>
    <row r="16" spans="1:16377" ht="24.95" customHeight="1">
      <c r="A16" s="9">
        <v>10</v>
      </c>
      <c r="B16" s="14" t="s">
        <v>29</v>
      </c>
      <c r="C16" s="14" t="s">
        <v>30</v>
      </c>
      <c r="D16" s="15" t="s">
        <v>20</v>
      </c>
      <c r="E16" s="11">
        <v>300</v>
      </c>
      <c r="F16" s="11">
        <v>278</v>
      </c>
      <c r="G16" s="12">
        <f t="shared" si="0"/>
        <v>8.34</v>
      </c>
      <c r="H16" s="13">
        <f t="shared" si="1"/>
        <v>8.34</v>
      </c>
      <c r="I16" s="12"/>
    </row>
    <row r="17" spans="1:9" ht="24.95" customHeight="1">
      <c r="A17" s="14" t="s">
        <v>31</v>
      </c>
      <c r="B17" s="14" t="s">
        <v>32</v>
      </c>
      <c r="C17" s="14" t="s">
        <v>33</v>
      </c>
      <c r="D17" s="11" t="s">
        <v>34</v>
      </c>
      <c r="E17" s="11">
        <v>160</v>
      </c>
      <c r="F17" s="11">
        <v>4200</v>
      </c>
      <c r="G17" s="11">
        <f t="shared" si="0"/>
        <v>67.2</v>
      </c>
      <c r="H17" s="11">
        <f t="shared" si="1"/>
        <v>67.2</v>
      </c>
      <c r="I17" s="12"/>
    </row>
    <row r="18" spans="1:9" ht="24.95" customHeight="1">
      <c r="A18" s="25" t="s">
        <v>35</v>
      </c>
      <c r="B18" s="25" t="s">
        <v>36</v>
      </c>
      <c r="C18" s="25" t="s">
        <v>37</v>
      </c>
      <c r="D18" s="9"/>
      <c r="E18" s="11"/>
      <c r="F18" s="11"/>
      <c r="G18" s="12">
        <f>H18</f>
        <v>253.10477054999996</v>
      </c>
      <c r="H18" s="12">
        <f>H19+H20+H22+H37+H38+H39+H41+H21+H36+H42+H43+H44+H45+H40</f>
        <v>253.10477054999996</v>
      </c>
      <c r="I18" s="12"/>
    </row>
    <row r="19" spans="1:9" ht="24.95" customHeight="1">
      <c r="A19" s="76">
        <v>1</v>
      </c>
      <c r="B19" s="83" t="s">
        <v>38</v>
      </c>
      <c r="C19" s="10" t="s">
        <v>39</v>
      </c>
      <c r="D19" s="9" t="s">
        <v>40</v>
      </c>
      <c r="E19" s="11">
        <f>210.5*130.5*1.31</f>
        <v>35986.027500000004</v>
      </c>
      <c r="F19" s="11">
        <v>8.1999999999999993</v>
      </c>
      <c r="G19" s="13">
        <f t="shared" ref="G19:G21" si="2">E19*F19/10000</f>
        <v>29.508542550000001</v>
      </c>
      <c r="H19" s="13">
        <f t="shared" ref="H19:H21" si="3">G19</f>
        <v>29.508542550000001</v>
      </c>
      <c r="I19" s="55">
        <f>G19-H19</f>
        <v>0</v>
      </c>
    </row>
    <row r="20" spans="1:9" ht="24.95" customHeight="1">
      <c r="A20" s="77"/>
      <c r="B20" s="83"/>
      <c r="C20" s="10" t="s">
        <v>41</v>
      </c>
      <c r="D20" s="9" t="s">
        <v>40</v>
      </c>
      <c r="E20" s="11">
        <v>5570.6</v>
      </c>
      <c r="F20" s="11">
        <v>8.1999999999999993</v>
      </c>
      <c r="G20" s="13">
        <f t="shared" si="2"/>
        <v>4.5678919999999996</v>
      </c>
      <c r="H20" s="13">
        <f t="shared" si="3"/>
        <v>4.5678919999999996</v>
      </c>
      <c r="I20" s="55"/>
    </row>
    <row r="21" spans="1:9" ht="60" customHeight="1">
      <c r="A21" s="16">
        <v>2</v>
      </c>
      <c r="B21" s="17" t="s">
        <v>42</v>
      </c>
      <c r="C21" s="18" t="s">
        <v>43</v>
      </c>
      <c r="D21" s="19" t="s">
        <v>40</v>
      </c>
      <c r="E21" s="65">
        <f>121*30*1.8+795.8*8*3+795.8*14*0.5+480*2*3</f>
        <v>34083.799999999996</v>
      </c>
      <c r="F21" s="71">
        <v>16</v>
      </c>
      <c r="G21" s="20">
        <f t="shared" si="2"/>
        <v>54.534079999999996</v>
      </c>
      <c r="H21" s="20">
        <f t="shared" si="3"/>
        <v>54.534079999999996</v>
      </c>
      <c r="I21" s="56"/>
    </row>
    <row r="22" spans="1:9" ht="30.95" customHeight="1">
      <c r="A22" s="9">
        <v>3</v>
      </c>
      <c r="B22" s="14" t="s">
        <v>44</v>
      </c>
      <c r="C22" s="10" t="s">
        <v>45</v>
      </c>
      <c r="D22" s="9" t="s">
        <v>46</v>
      </c>
      <c r="E22" s="11">
        <v>1395.52</v>
      </c>
      <c r="F22" s="11"/>
      <c r="G22" s="13">
        <f>H22</f>
        <v>127.73137600000001</v>
      </c>
      <c r="H22" s="13">
        <f>SUM(H23:H35)</f>
        <v>127.73137600000001</v>
      </c>
      <c r="I22" s="12"/>
    </row>
    <row r="23" spans="1:9" ht="36.950000000000003" customHeight="1">
      <c r="A23" s="9">
        <v>3.1</v>
      </c>
      <c r="B23" s="14" t="s">
        <v>47</v>
      </c>
      <c r="C23" s="10" t="s">
        <v>48</v>
      </c>
      <c r="D23" s="9" t="s">
        <v>46</v>
      </c>
      <c r="E23" s="11">
        <f>8.7*8.7*2+8.7*7.2</f>
        <v>214.01999999999995</v>
      </c>
      <c r="F23" s="11">
        <v>1400</v>
      </c>
      <c r="G23" s="13">
        <f t="shared" ref="G23:G33" si="4">E23*F23/10000</f>
        <v>29.962799999999994</v>
      </c>
      <c r="H23" s="13">
        <f t="shared" ref="H23:H33" si="5">G23</f>
        <v>29.962799999999994</v>
      </c>
      <c r="I23" s="12"/>
    </row>
    <row r="24" spans="1:9" ht="24.95" customHeight="1">
      <c r="A24" s="9">
        <v>3.2</v>
      </c>
      <c r="B24" s="14" t="s">
        <v>49</v>
      </c>
      <c r="C24" s="10" t="s">
        <v>50</v>
      </c>
      <c r="D24" s="9" t="s">
        <v>46</v>
      </c>
      <c r="E24" s="11">
        <f>7.2*7.2*4</f>
        <v>207.36</v>
      </c>
      <c r="F24" s="11">
        <v>1400</v>
      </c>
      <c r="G24" s="13">
        <f t="shared" si="4"/>
        <v>29.0304</v>
      </c>
      <c r="H24" s="13">
        <f t="shared" si="5"/>
        <v>29.0304</v>
      </c>
      <c r="I24" s="12"/>
    </row>
    <row r="25" spans="1:9" ht="41.1" customHeight="1">
      <c r="A25" s="26">
        <v>3.3</v>
      </c>
      <c r="B25" s="14" t="s">
        <v>51</v>
      </c>
      <c r="C25" s="14" t="s">
        <v>52</v>
      </c>
      <c r="D25" s="21" t="s">
        <v>16</v>
      </c>
      <c r="E25" s="65">
        <f>8.7*7.2*2+7.2*6*2</f>
        <v>211.68</v>
      </c>
      <c r="F25" s="11">
        <v>102</v>
      </c>
      <c r="G25" s="13">
        <f t="shared" si="4"/>
        <v>2.1591360000000002</v>
      </c>
      <c r="H25" s="13">
        <f t="shared" si="5"/>
        <v>2.1591360000000002</v>
      </c>
      <c r="I25" s="12"/>
    </row>
    <row r="26" spans="1:9" ht="24.95" customHeight="1">
      <c r="A26" s="26">
        <v>3.4</v>
      </c>
      <c r="B26" s="14" t="s">
        <v>53</v>
      </c>
      <c r="C26" s="10" t="s">
        <v>54</v>
      </c>
      <c r="D26" s="9" t="s">
        <v>46</v>
      </c>
      <c r="E26" s="11">
        <f>4.8*7.2</f>
        <v>34.56</v>
      </c>
      <c r="F26" s="11">
        <v>1400</v>
      </c>
      <c r="G26" s="13">
        <f t="shared" si="4"/>
        <v>4.8384</v>
      </c>
      <c r="H26" s="13">
        <f t="shared" si="5"/>
        <v>4.8384</v>
      </c>
      <c r="I26" s="12"/>
    </row>
    <row r="27" spans="1:9" ht="24.95" customHeight="1">
      <c r="A27" s="26">
        <v>3.5</v>
      </c>
      <c r="B27" s="14" t="s">
        <v>55</v>
      </c>
      <c r="C27" s="14" t="s">
        <v>56</v>
      </c>
      <c r="D27" s="9" t="s">
        <v>46</v>
      </c>
      <c r="E27" s="11">
        <f>4.8*7.2</f>
        <v>34.56</v>
      </c>
      <c r="F27" s="11">
        <v>1400</v>
      </c>
      <c r="G27" s="13">
        <f t="shared" si="4"/>
        <v>4.8384</v>
      </c>
      <c r="H27" s="13">
        <f t="shared" si="5"/>
        <v>4.8384</v>
      </c>
      <c r="I27" s="12"/>
    </row>
    <row r="28" spans="1:9" ht="29.1" customHeight="1">
      <c r="A28" s="26">
        <v>3.6</v>
      </c>
      <c r="B28" s="14" t="s">
        <v>57</v>
      </c>
      <c r="C28" s="14" t="s">
        <v>58</v>
      </c>
      <c r="D28" s="9" t="s">
        <v>46</v>
      </c>
      <c r="E28" s="11">
        <f>3.65*1.4*4+7.3*1.4*4</f>
        <v>61.319999999999993</v>
      </c>
      <c r="F28" s="11">
        <v>280</v>
      </c>
      <c r="G28" s="13">
        <f t="shared" si="4"/>
        <v>1.7169599999999998</v>
      </c>
      <c r="H28" s="13">
        <f t="shared" si="5"/>
        <v>1.7169599999999998</v>
      </c>
      <c r="I28" s="12"/>
    </row>
    <row r="29" spans="1:9" ht="29.1" customHeight="1">
      <c r="A29" s="26">
        <v>3.7</v>
      </c>
      <c r="B29" s="14" t="s">
        <v>59</v>
      </c>
      <c r="C29" s="14" t="s">
        <v>60</v>
      </c>
      <c r="D29" s="9" t="s">
        <v>46</v>
      </c>
      <c r="E29" s="11">
        <f>47.4*1.5</f>
        <v>71.099999999999994</v>
      </c>
      <c r="F29" s="11">
        <v>500</v>
      </c>
      <c r="G29" s="13">
        <f t="shared" si="4"/>
        <v>3.5550000000000002</v>
      </c>
      <c r="H29" s="13">
        <f t="shared" si="5"/>
        <v>3.5550000000000002</v>
      </c>
      <c r="I29" s="12"/>
    </row>
    <row r="30" spans="1:9" ht="24.95" customHeight="1">
      <c r="A30" s="26">
        <v>3.8</v>
      </c>
      <c r="B30" s="14" t="s">
        <v>61</v>
      </c>
      <c r="C30" s="10" t="s">
        <v>62</v>
      </c>
      <c r="D30" s="9" t="s">
        <v>40</v>
      </c>
      <c r="E30" s="65">
        <f>18.6*(7.2+5.7)+18.6*6</f>
        <v>351.54</v>
      </c>
      <c r="F30" s="11">
        <v>500</v>
      </c>
      <c r="G30" s="13">
        <f t="shared" si="4"/>
        <v>17.577000000000002</v>
      </c>
      <c r="H30" s="13">
        <f t="shared" si="5"/>
        <v>17.577000000000002</v>
      </c>
      <c r="I30" s="12"/>
    </row>
    <row r="31" spans="1:9" ht="24.95" customHeight="1">
      <c r="A31" s="26">
        <v>3.9</v>
      </c>
      <c r="B31" s="14" t="s">
        <v>63</v>
      </c>
      <c r="C31" s="10" t="s">
        <v>64</v>
      </c>
      <c r="D31" s="9">
        <v>1</v>
      </c>
      <c r="E31" s="66">
        <v>1</v>
      </c>
      <c r="F31" s="11">
        <v>5000</v>
      </c>
      <c r="G31" s="13">
        <f t="shared" si="4"/>
        <v>0.5</v>
      </c>
      <c r="H31" s="13">
        <f t="shared" si="5"/>
        <v>0.5</v>
      </c>
      <c r="I31" s="12"/>
    </row>
    <row r="32" spans="1:9" ht="24.95" customHeight="1">
      <c r="A32" s="13">
        <v>3.1</v>
      </c>
      <c r="B32" s="14" t="s">
        <v>65</v>
      </c>
      <c r="C32" s="10" t="s">
        <v>66</v>
      </c>
      <c r="D32" s="9" t="s">
        <v>20</v>
      </c>
      <c r="E32" s="11">
        <f>36*0.24*2.5*2+39*0.24*2.5*2</f>
        <v>90</v>
      </c>
      <c r="F32" s="11">
        <v>500</v>
      </c>
      <c r="G32" s="13">
        <f t="shared" si="4"/>
        <v>4.5</v>
      </c>
      <c r="H32" s="13">
        <f t="shared" si="5"/>
        <v>4.5</v>
      </c>
      <c r="I32" s="12"/>
    </row>
    <row r="33" spans="1:9" ht="24.95" customHeight="1">
      <c r="A33" s="26">
        <v>3.11</v>
      </c>
      <c r="B33" s="14" t="s">
        <v>67</v>
      </c>
      <c r="C33" s="10" t="s">
        <v>68</v>
      </c>
      <c r="D33" s="14" t="s">
        <v>69</v>
      </c>
      <c r="E33" s="11">
        <v>1</v>
      </c>
      <c r="F33" s="11">
        <v>30000</v>
      </c>
      <c r="G33" s="13">
        <f t="shared" si="4"/>
        <v>3</v>
      </c>
      <c r="H33" s="13">
        <f t="shared" si="5"/>
        <v>3</v>
      </c>
      <c r="I33" s="12"/>
    </row>
    <row r="34" spans="1:9" ht="24.95" customHeight="1">
      <c r="A34" s="26">
        <v>3.12</v>
      </c>
      <c r="B34" s="14" t="s">
        <v>70</v>
      </c>
      <c r="C34" s="10" t="s">
        <v>71</v>
      </c>
      <c r="D34" s="9" t="s">
        <v>40</v>
      </c>
      <c r="E34" s="66">
        <f>(0.5*0.6*1+1.7*1*1+1.3*1*1+0.9*1*1)*124.2+(1.2*1+0.8*1+0.4*0.4)*66</f>
        <v>664.2</v>
      </c>
      <c r="F34" s="11">
        <v>320</v>
      </c>
      <c r="G34" s="13">
        <f t="shared" ref="G34:G38" si="6">E34*F34/10000</f>
        <v>21.2544</v>
      </c>
      <c r="H34" s="13">
        <f t="shared" ref="H34:H45" si="7">G34</f>
        <v>21.2544</v>
      </c>
      <c r="I34" s="12"/>
    </row>
    <row r="35" spans="1:9" ht="24.95" customHeight="1">
      <c r="A35" s="26">
        <v>3.13</v>
      </c>
      <c r="B35" s="14" t="s">
        <v>72</v>
      </c>
      <c r="C35" s="10" t="s">
        <v>73</v>
      </c>
      <c r="D35" s="9" t="s">
        <v>40</v>
      </c>
      <c r="E35" s="65">
        <f>35.6*33.7*2.5</f>
        <v>2999.3000000000006</v>
      </c>
      <c r="F35" s="11">
        <v>16</v>
      </c>
      <c r="G35" s="13">
        <f t="shared" si="6"/>
        <v>4.7988800000000014</v>
      </c>
      <c r="H35" s="13">
        <f t="shared" si="7"/>
        <v>4.7988800000000014</v>
      </c>
      <c r="I35" s="12"/>
    </row>
    <row r="36" spans="1:9" ht="24.95" customHeight="1">
      <c r="A36" s="19">
        <v>4</v>
      </c>
      <c r="B36" s="14" t="s">
        <v>74</v>
      </c>
      <c r="C36" s="10" t="s">
        <v>75</v>
      </c>
      <c r="D36" s="14" t="s">
        <v>76</v>
      </c>
      <c r="E36" s="11">
        <v>227</v>
      </c>
      <c r="F36" s="11">
        <v>46</v>
      </c>
      <c r="G36" s="13">
        <f t="shared" si="6"/>
        <v>1.0442</v>
      </c>
      <c r="H36" s="13">
        <f t="shared" si="7"/>
        <v>1.0442</v>
      </c>
      <c r="I36" s="12"/>
    </row>
    <row r="37" spans="1:9" ht="24.95" customHeight="1">
      <c r="A37" s="9">
        <v>5</v>
      </c>
      <c r="B37" s="14" t="s">
        <v>77</v>
      </c>
      <c r="C37" s="10" t="s">
        <v>78</v>
      </c>
      <c r="D37" s="9" t="s">
        <v>46</v>
      </c>
      <c r="E37" s="11">
        <f>140*2.5</f>
        <v>350</v>
      </c>
      <c r="F37" s="11">
        <v>408</v>
      </c>
      <c r="G37" s="13">
        <f t="shared" si="6"/>
        <v>14.28</v>
      </c>
      <c r="H37" s="13">
        <f t="shared" si="7"/>
        <v>14.28</v>
      </c>
      <c r="I37" s="12"/>
    </row>
    <row r="38" spans="1:9" ht="24.95" customHeight="1">
      <c r="A38" s="78">
        <v>6</v>
      </c>
      <c r="B38" s="76" t="s">
        <v>79</v>
      </c>
      <c r="C38" s="10" t="s">
        <v>80</v>
      </c>
      <c r="D38" s="9" t="s">
        <v>40</v>
      </c>
      <c r="E38" s="11">
        <v>42</v>
      </c>
      <c r="F38" s="11">
        <v>320</v>
      </c>
      <c r="G38" s="13">
        <f t="shared" si="6"/>
        <v>1.3440000000000001</v>
      </c>
      <c r="H38" s="13">
        <f t="shared" si="7"/>
        <v>1.3440000000000001</v>
      </c>
      <c r="I38" s="12"/>
    </row>
    <row r="39" spans="1:9" ht="24.95" customHeight="1">
      <c r="A39" s="79"/>
      <c r="B39" s="84"/>
      <c r="C39" s="10" t="s">
        <v>81</v>
      </c>
      <c r="D39" s="9" t="s">
        <v>40</v>
      </c>
      <c r="E39" s="11">
        <v>10</v>
      </c>
      <c r="F39" s="11">
        <v>480</v>
      </c>
      <c r="G39" s="13">
        <f>F39*E39/10000</f>
        <v>0.48</v>
      </c>
      <c r="H39" s="13">
        <f t="shared" si="7"/>
        <v>0.48</v>
      </c>
      <c r="I39" s="12"/>
    </row>
    <row r="40" spans="1:9" ht="24.95" customHeight="1">
      <c r="A40" s="23">
        <v>7</v>
      </c>
      <c r="B40" s="24" t="s">
        <v>82</v>
      </c>
      <c r="C40" s="10" t="s">
        <v>83</v>
      </c>
      <c r="D40" s="9" t="s">
        <v>20</v>
      </c>
      <c r="E40" s="11">
        <v>30</v>
      </c>
      <c r="F40" s="11">
        <v>500</v>
      </c>
      <c r="G40" s="13">
        <f t="shared" ref="G40:G45" si="8">E40*F40/10000</f>
        <v>1.5</v>
      </c>
      <c r="H40" s="13">
        <f t="shared" si="7"/>
        <v>1.5</v>
      </c>
      <c r="I40" s="12"/>
    </row>
    <row r="41" spans="1:9" ht="24.95" customHeight="1">
      <c r="A41" s="25">
        <v>8</v>
      </c>
      <c r="B41" s="14" t="s">
        <v>84</v>
      </c>
      <c r="C41" s="10" t="s">
        <v>85</v>
      </c>
      <c r="D41" s="9" t="s">
        <v>40</v>
      </c>
      <c r="E41" s="11">
        <f>140*6*0.3</f>
        <v>252</v>
      </c>
      <c r="F41" s="11">
        <v>320</v>
      </c>
      <c r="G41" s="13">
        <f t="shared" si="8"/>
        <v>8.0640000000000001</v>
      </c>
      <c r="H41" s="13">
        <f t="shared" si="7"/>
        <v>8.0640000000000001</v>
      </c>
      <c r="I41" s="12"/>
    </row>
    <row r="42" spans="1:9" ht="24.95" customHeight="1">
      <c r="A42" s="23">
        <v>9</v>
      </c>
      <c r="B42" s="14" t="s">
        <v>86</v>
      </c>
      <c r="C42" s="10" t="s">
        <v>87</v>
      </c>
      <c r="D42" s="9" t="s">
        <v>40</v>
      </c>
      <c r="E42" s="11">
        <v>205.54</v>
      </c>
      <c r="F42" s="11">
        <v>320</v>
      </c>
      <c r="G42" s="13">
        <f t="shared" si="8"/>
        <v>6.57728</v>
      </c>
      <c r="H42" s="13">
        <f t="shared" si="7"/>
        <v>6.57728</v>
      </c>
      <c r="I42" s="12"/>
    </row>
    <row r="43" spans="1:9" ht="24.95" customHeight="1">
      <c r="A43" s="25">
        <v>10</v>
      </c>
      <c r="B43" s="14" t="s">
        <v>88</v>
      </c>
      <c r="C43" s="10" t="s">
        <v>89</v>
      </c>
      <c r="D43" s="14" t="s">
        <v>24</v>
      </c>
      <c r="E43" s="11">
        <v>2</v>
      </c>
      <c r="F43" s="11">
        <v>2000</v>
      </c>
      <c r="G43" s="13">
        <f t="shared" si="8"/>
        <v>0.4</v>
      </c>
      <c r="H43" s="13">
        <f t="shared" si="7"/>
        <v>0.4</v>
      </c>
      <c r="I43" s="12"/>
    </row>
    <row r="44" spans="1:9" ht="24.95" customHeight="1">
      <c r="A44" s="23">
        <v>11</v>
      </c>
      <c r="B44" s="14" t="s">
        <v>90</v>
      </c>
      <c r="C44" s="10" t="s">
        <v>91</v>
      </c>
      <c r="D44" s="9" t="s">
        <v>40</v>
      </c>
      <c r="E44" s="11">
        <f>127*33*0.2</f>
        <v>838.2</v>
      </c>
      <c r="F44" s="11">
        <v>20</v>
      </c>
      <c r="G44" s="13">
        <f t="shared" si="8"/>
        <v>1.6763999999999999</v>
      </c>
      <c r="H44" s="13">
        <f t="shared" si="7"/>
        <v>1.6763999999999999</v>
      </c>
      <c r="I44" s="12"/>
    </row>
    <row r="45" spans="1:9" ht="24.95" customHeight="1">
      <c r="A45" s="25">
        <v>12</v>
      </c>
      <c r="B45" s="14" t="s">
        <v>92</v>
      </c>
      <c r="C45" s="10" t="s">
        <v>93</v>
      </c>
      <c r="D45" s="9" t="s">
        <v>20</v>
      </c>
      <c r="E45" s="11">
        <v>127</v>
      </c>
      <c r="F45" s="11">
        <v>110</v>
      </c>
      <c r="G45" s="13">
        <f t="shared" si="8"/>
        <v>1.397</v>
      </c>
      <c r="H45" s="13">
        <f t="shared" si="7"/>
        <v>1.397</v>
      </c>
      <c r="I45" s="12"/>
    </row>
    <row r="46" spans="1:9" ht="24.95" customHeight="1">
      <c r="A46" s="25" t="s">
        <v>94</v>
      </c>
      <c r="B46" s="25" t="s">
        <v>95</v>
      </c>
      <c r="C46" s="14" t="s">
        <v>96</v>
      </c>
      <c r="D46" s="9"/>
      <c r="E46" s="11"/>
      <c r="F46" s="11"/>
      <c r="G46" s="12">
        <f t="shared" ref="G46:G79" si="9">H46</f>
        <v>75.21069086</v>
      </c>
      <c r="H46" s="12">
        <f>H47+H80</f>
        <v>75.21069086</v>
      </c>
      <c r="I46" s="12"/>
    </row>
    <row r="47" spans="1:9" ht="24.95" customHeight="1">
      <c r="A47" s="25" t="s">
        <v>97</v>
      </c>
      <c r="B47" s="25" t="s">
        <v>98</v>
      </c>
      <c r="C47" s="14" t="s">
        <v>99</v>
      </c>
      <c r="D47" s="9"/>
      <c r="E47" s="11"/>
      <c r="F47" s="11"/>
      <c r="G47" s="12">
        <f t="shared" si="9"/>
        <v>32.625330859999998</v>
      </c>
      <c r="H47" s="12">
        <f>H48+H49+H50+H51+H52+H53+H54+H55+H56+H57+H58+H59+H60+H61+H62+H63+H64+H65+H66+H67+H68+H69+H70+H71+H72+H73+H74+H75+H76+H77+H78+H79</f>
        <v>32.625330859999998</v>
      </c>
      <c r="I47" s="12"/>
    </row>
    <row r="48" spans="1:9" ht="24.95" customHeight="1">
      <c r="A48" s="80">
        <v>1</v>
      </c>
      <c r="B48" s="80" t="s">
        <v>206</v>
      </c>
      <c r="C48" s="10" t="s">
        <v>100</v>
      </c>
      <c r="D48" s="9" t="s">
        <v>205</v>
      </c>
      <c r="E48" s="11">
        <f>18.5*8.1*0.2</f>
        <v>29.97</v>
      </c>
      <c r="F48" s="11">
        <v>486</v>
      </c>
      <c r="G48" s="12">
        <f t="shared" si="9"/>
        <v>1.456542</v>
      </c>
      <c r="H48" s="13">
        <f t="shared" ref="H48:H50" si="10">F48*E48/10000</f>
        <v>1.456542</v>
      </c>
      <c r="I48" s="12"/>
    </row>
    <row r="49" spans="1:11" s="1" customFormat="1" ht="24.95" customHeight="1">
      <c r="A49" s="80"/>
      <c r="B49" s="83"/>
      <c r="C49" s="10" t="s">
        <v>101</v>
      </c>
      <c r="D49" s="9" t="s">
        <v>205</v>
      </c>
      <c r="E49" s="11">
        <f>15.7*3*0.2</f>
        <v>9.42</v>
      </c>
      <c r="F49" s="11">
        <v>486</v>
      </c>
      <c r="G49" s="12">
        <f t="shared" si="9"/>
        <v>0.457812</v>
      </c>
      <c r="H49" s="13">
        <f t="shared" si="10"/>
        <v>0.457812</v>
      </c>
      <c r="I49" s="12"/>
      <c r="K49" s="5"/>
    </row>
    <row r="50" spans="1:11" s="1" customFormat="1" ht="24.95" customHeight="1">
      <c r="A50" s="80"/>
      <c r="B50" s="83"/>
      <c r="C50" s="10" t="s">
        <v>102</v>
      </c>
      <c r="D50" s="9" t="s">
        <v>205</v>
      </c>
      <c r="E50" s="11">
        <f>18.9*6.4*0.2</f>
        <v>24.192</v>
      </c>
      <c r="F50" s="11">
        <v>486</v>
      </c>
      <c r="G50" s="12">
        <f t="shared" si="9"/>
        <v>1.1757312</v>
      </c>
      <c r="H50" s="13">
        <f t="shared" si="10"/>
        <v>1.1757312</v>
      </c>
      <c r="I50" s="12"/>
      <c r="K50" s="5"/>
    </row>
    <row r="51" spans="1:11" s="1" customFormat="1" ht="24.95" customHeight="1">
      <c r="A51" s="80"/>
      <c r="B51" s="83"/>
      <c r="C51" s="10" t="s">
        <v>103</v>
      </c>
      <c r="D51" s="9" t="s">
        <v>205</v>
      </c>
      <c r="E51" s="11">
        <f>2.4*1.7*0.2*2</f>
        <v>1.6320000000000001</v>
      </c>
      <c r="F51" s="11">
        <v>486</v>
      </c>
      <c r="G51" s="12">
        <f t="shared" si="9"/>
        <v>7.9315200000000002E-2</v>
      </c>
      <c r="H51" s="13">
        <f t="shared" ref="H51:H79" si="11">E51*F51/10000</f>
        <v>7.9315200000000002E-2</v>
      </c>
      <c r="I51" s="12"/>
      <c r="K51" s="5"/>
    </row>
    <row r="52" spans="1:11" s="1" customFormat="1" ht="24.95" customHeight="1">
      <c r="A52" s="80"/>
      <c r="B52" s="83"/>
      <c r="C52" s="10" t="s">
        <v>104</v>
      </c>
      <c r="D52" s="9" t="s">
        <v>205</v>
      </c>
      <c r="E52" s="11">
        <f>21*2.9*0.2</f>
        <v>12.18</v>
      </c>
      <c r="F52" s="11">
        <v>486</v>
      </c>
      <c r="G52" s="12">
        <f t="shared" si="9"/>
        <v>0.59194799999999992</v>
      </c>
      <c r="H52" s="13">
        <f t="shared" si="11"/>
        <v>0.59194799999999992</v>
      </c>
      <c r="I52" s="12"/>
      <c r="K52" s="5"/>
    </row>
    <row r="53" spans="1:11" s="1" customFormat="1" ht="24.95" customHeight="1">
      <c r="A53" s="80"/>
      <c r="B53" s="83"/>
      <c r="C53" s="10" t="s">
        <v>105</v>
      </c>
      <c r="D53" s="9" t="s">
        <v>205</v>
      </c>
      <c r="E53" s="11">
        <f>2*1.2*0.2*2</f>
        <v>0.96</v>
      </c>
      <c r="F53" s="11">
        <v>486</v>
      </c>
      <c r="G53" s="12">
        <f t="shared" si="9"/>
        <v>4.6656000000000003E-2</v>
      </c>
      <c r="H53" s="13">
        <f t="shared" si="11"/>
        <v>4.6656000000000003E-2</v>
      </c>
      <c r="I53" s="12"/>
      <c r="K53" s="5"/>
    </row>
    <row r="54" spans="1:11" s="1" customFormat="1" ht="24.95" customHeight="1">
      <c r="A54" s="80"/>
      <c r="B54" s="83"/>
      <c r="C54" s="10" t="s">
        <v>106</v>
      </c>
      <c r="D54" s="9" t="s">
        <v>205</v>
      </c>
      <c r="E54" s="11">
        <f>18.5*2.5*0.2</f>
        <v>9.25</v>
      </c>
      <c r="F54" s="11">
        <v>486</v>
      </c>
      <c r="G54" s="12">
        <f t="shared" si="9"/>
        <v>0.44955000000000001</v>
      </c>
      <c r="H54" s="13">
        <f t="shared" si="11"/>
        <v>0.44955000000000001</v>
      </c>
      <c r="I54" s="12"/>
      <c r="K54" s="5"/>
    </row>
    <row r="55" spans="1:11" s="1" customFormat="1" ht="24.95" customHeight="1">
      <c r="A55" s="80"/>
      <c r="B55" s="83"/>
      <c r="C55" s="10" t="s">
        <v>107</v>
      </c>
      <c r="D55" s="9" t="s">
        <v>205</v>
      </c>
      <c r="E55" s="11">
        <f>7.7*6.6*0.2</f>
        <v>10.164000000000001</v>
      </c>
      <c r="F55" s="11">
        <v>486</v>
      </c>
      <c r="G55" s="12">
        <f t="shared" si="9"/>
        <v>0.49397040000000009</v>
      </c>
      <c r="H55" s="13">
        <f t="shared" si="11"/>
        <v>0.49397040000000009</v>
      </c>
      <c r="I55" s="12"/>
      <c r="K55" s="5"/>
    </row>
    <row r="56" spans="1:11" s="1" customFormat="1" ht="24.95" customHeight="1">
      <c r="A56" s="80"/>
      <c r="B56" s="83"/>
      <c r="C56" s="10" t="s">
        <v>107</v>
      </c>
      <c r="D56" s="9" t="s">
        <v>205</v>
      </c>
      <c r="E56" s="11">
        <f>12*(5.4+4.7+2.8)/3*0.2</f>
        <v>10.32</v>
      </c>
      <c r="F56" s="11">
        <v>486</v>
      </c>
      <c r="G56" s="12">
        <f t="shared" si="9"/>
        <v>0.501552</v>
      </c>
      <c r="H56" s="13">
        <f t="shared" si="11"/>
        <v>0.501552</v>
      </c>
      <c r="I56" s="12"/>
      <c r="K56" s="5"/>
    </row>
    <row r="57" spans="1:11" s="1" customFormat="1" ht="24.95" customHeight="1">
      <c r="A57" s="80"/>
      <c r="B57" s="83"/>
      <c r="C57" s="10" t="s">
        <v>107</v>
      </c>
      <c r="D57" s="9" t="s">
        <v>205</v>
      </c>
      <c r="E57" s="11">
        <f>14.5*5.4*0.2</f>
        <v>15.660000000000004</v>
      </c>
      <c r="F57" s="11">
        <v>486</v>
      </c>
      <c r="G57" s="12">
        <f t="shared" si="9"/>
        <v>0.7610760000000002</v>
      </c>
      <c r="H57" s="13">
        <f t="shared" si="11"/>
        <v>0.7610760000000002</v>
      </c>
      <c r="I57" s="12"/>
      <c r="K57" s="5"/>
    </row>
    <row r="58" spans="1:11" s="1" customFormat="1" ht="24.95" customHeight="1">
      <c r="A58" s="80"/>
      <c r="B58" s="83"/>
      <c r="C58" s="10" t="s">
        <v>107</v>
      </c>
      <c r="D58" s="9" t="s">
        <v>205</v>
      </c>
      <c r="E58" s="11">
        <f>2.2*13*0.2</f>
        <v>5.7200000000000006</v>
      </c>
      <c r="F58" s="11">
        <v>486</v>
      </c>
      <c r="G58" s="12">
        <f t="shared" si="9"/>
        <v>0.27799200000000007</v>
      </c>
      <c r="H58" s="13">
        <f t="shared" si="11"/>
        <v>0.27799200000000007</v>
      </c>
      <c r="I58" s="12"/>
      <c r="K58" s="5"/>
    </row>
    <row r="59" spans="1:11" s="2" customFormat="1" ht="24.95" customHeight="1">
      <c r="A59" s="80"/>
      <c r="B59" s="83"/>
      <c r="C59" s="10" t="s">
        <v>107</v>
      </c>
      <c r="D59" s="9" t="s">
        <v>205</v>
      </c>
      <c r="E59" s="11">
        <f>1.45*1*0.2</f>
        <v>0.28999999999999998</v>
      </c>
      <c r="F59" s="11">
        <v>486</v>
      </c>
      <c r="G59" s="12">
        <f t="shared" si="9"/>
        <v>1.4094000000000001E-2</v>
      </c>
      <c r="H59" s="13">
        <f t="shared" si="11"/>
        <v>1.4094000000000001E-2</v>
      </c>
      <c r="I59" s="12"/>
      <c r="K59" s="5"/>
    </row>
    <row r="60" spans="1:11" s="2" customFormat="1" ht="24.95" customHeight="1">
      <c r="A60" s="80">
        <v>2</v>
      </c>
      <c r="B60" s="83" t="s">
        <v>108</v>
      </c>
      <c r="C60" s="10" t="s">
        <v>109</v>
      </c>
      <c r="D60" s="14" t="s">
        <v>16</v>
      </c>
      <c r="E60" s="11">
        <f>17.8*1</f>
        <v>17.8</v>
      </c>
      <c r="F60" s="11">
        <v>150</v>
      </c>
      <c r="G60" s="12">
        <f t="shared" si="9"/>
        <v>0.26700000000000002</v>
      </c>
      <c r="H60" s="13">
        <f t="shared" si="11"/>
        <v>0.26700000000000002</v>
      </c>
      <c r="I60" s="12"/>
      <c r="K60" s="5"/>
    </row>
    <row r="61" spans="1:11" s="2" customFormat="1" ht="24.95" customHeight="1">
      <c r="A61" s="80"/>
      <c r="B61" s="83"/>
      <c r="C61" s="10" t="s">
        <v>110</v>
      </c>
      <c r="D61" s="9" t="s">
        <v>46</v>
      </c>
      <c r="E61" s="11">
        <f>3.8*1</f>
        <v>3.8</v>
      </c>
      <c r="F61" s="11">
        <v>150</v>
      </c>
      <c r="G61" s="12">
        <f t="shared" si="9"/>
        <v>5.7000000000000002E-2</v>
      </c>
      <c r="H61" s="13">
        <f t="shared" si="11"/>
        <v>5.7000000000000002E-2</v>
      </c>
      <c r="I61" s="12"/>
      <c r="K61" s="5"/>
    </row>
    <row r="62" spans="1:11" s="2" customFormat="1" ht="24.95" customHeight="1">
      <c r="A62" s="80"/>
      <c r="B62" s="83"/>
      <c r="C62" s="10" t="s">
        <v>111</v>
      </c>
      <c r="D62" s="9" t="s">
        <v>46</v>
      </c>
      <c r="E62" s="11">
        <f>38*1</f>
        <v>38</v>
      </c>
      <c r="F62" s="11">
        <v>150</v>
      </c>
      <c r="G62" s="12">
        <f t="shared" si="9"/>
        <v>0.56999999999999995</v>
      </c>
      <c r="H62" s="13">
        <f t="shared" si="11"/>
        <v>0.56999999999999995</v>
      </c>
      <c r="I62" s="12"/>
      <c r="K62" s="5"/>
    </row>
    <row r="63" spans="1:11" s="2" customFormat="1" ht="24.95" customHeight="1">
      <c r="A63" s="80"/>
      <c r="B63" s="83"/>
      <c r="C63" s="10" t="s">
        <v>112</v>
      </c>
      <c r="D63" s="9" t="s">
        <v>46</v>
      </c>
      <c r="E63" s="11">
        <f>36*1</f>
        <v>36</v>
      </c>
      <c r="F63" s="11">
        <v>150</v>
      </c>
      <c r="G63" s="12">
        <f t="shared" si="9"/>
        <v>0.54</v>
      </c>
      <c r="H63" s="13">
        <f t="shared" si="11"/>
        <v>0.54</v>
      </c>
      <c r="I63" s="12"/>
      <c r="K63" s="5"/>
    </row>
    <row r="64" spans="1:11" s="2" customFormat="1" ht="24.95" customHeight="1">
      <c r="A64" s="80"/>
      <c r="B64" s="83"/>
      <c r="C64" s="10" t="s">
        <v>113</v>
      </c>
      <c r="D64" s="9" t="s">
        <v>46</v>
      </c>
      <c r="E64" s="11">
        <f>115.3*1</f>
        <v>115.3</v>
      </c>
      <c r="F64" s="11">
        <v>150</v>
      </c>
      <c r="G64" s="12">
        <f t="shared" si="9"/>
        <v>1.7295</v>
      </c>
      <c r="H64" s="13">
        <f t="shared" si="11"/>
        <v>1.7295</v>
      </c>
      <c r="I64" s="12"/>
      <c r="K64" s="5"/>
    </row>
    <row r="65" spans="1:11" s="2" customFormat="1" ht="24.95" customHeight="1">
      <c r="A65" s="14">
        <v>3</v>
      </c>
      <c r="B65" s="14" t="s">
        <v>11</v>
      </c>
      <c r="C65" s="10" t="s">
        <v>114</v>
      </c>
      <c r="D65" s="9" t="s">
        <v>40</v>
      </c>
      <c r="E65" s="11">
        <f>210.9*0.2</f>
        <v>42.180000000000007</v>
      </c>
      <c r="F65" s="11">
        <v>486</v>
      </c>
      <c r="G65" s="12">
        <f t="shared" si="9"/>
        <v>2.0499480000000001</v>
      </c>
      <c r="H65" s="13">
        <f t="shared" si="11"/>
        <v>2.0499480000000001</v>
      </c>
      <c r="I65" s="12"/>
      <c r="K65" s="5"/>
    </row>
    <row r="66" spans="1:11" s="3" customFormat="1" ht="24.95" customHeight="1">
      <c r="A66" s="9">
        <v>4</v>
      </c>
      <c r="B66" s="14" t="s">
        <v>115</v>
      </c>
      <c r="C66" s="14" t="s">
        <v>115</v>
      </c>
      <c r="D66" s="9" t="s">
        <v>46</v>
      </c>
      <c r="E66" s="11">
        <f>8.7*2.5</f>
        <v>21.75</v>
      </c>
      <c r="F66" s="11">
        <v>28</v>
      </c>
      <c r="G66" s="12">
        <f t="shared" si="9"/>
        <v>6.0900000000000003E-2</v>
      </c>
      <c r="H66" s="13">
        <f t="shared" si="11"/>
        <v>6.0900000000000003E-2</v>
      </c>
      <c r="I66" s="12"/>
      <c r="K66" s="5"/>
    </row>
    <row r="67" spans="1:11" s="3" customFormat="1" ht="24.95" customHeight="1">
      <c r="A67" s="9">
        <v>5</v>
      </c>
      <c r="B67" s="14" t="s">
        <v>116</v>
      </c>
      <c r="C67" s="14" t="s">
        <v>116</v>
      </c>
      <c r="D67" s="9" t="s">
        <v>20</v>
      </c>
      <c r="E67" s="11">
        <f>33+17.5+37</f>
        <v>87.5</v>
      </c>
      <c r="F67" s="11">
        <v>70</v>
      </c>
      <c r="G67" s="12">
        <f t="shared" si="9"/>
        <v>0.61250000000000004</v>
      </c>
      <c r="H67" s="13">
        <f t="shared" si="11"/>
        <v>0.61250000000000004</v>
      </c>
      <c r="I67" s="12"/>
      <c r="K67" s="5"/>
    </row>
    <row r="68" spans="1:11" ht="24.95" customHeight="1">
      <c r="A68" s="80">
        <v>6</v>
      </c>
      <c r="B68" s="83" t="s">
        <v>108</v>
      </c>
      <c r="C68" s="14" t="s">
        <v>117</v>
      </c>
      <c r="D68" s="9" t="s">
        <v>46</v>
      </c>
      <c r="E68" s="11">
        <f>2.8*2.8</f>
        <v>7.839999999999999</v>
      </c>
      <c r="F68" s="11">
        <v>150</v>
      </c>
      <c r="G68" s="12">
        <f t="shared" si="9"/>
        <v>0.11759999999999998</v>
      </c>
      <c r="H68" s="13">
        <f t="shared" si="11"/>
        <v>0.11759999999999998</v>
      </c>
      <c r="I68" s="12"/>
    </row>
    <row r="69" spans="1:11" s="4" customFormat="1" ht="24.95" customHeight="1">
      <c r="A69" s="80"/>
      <c r="B69" s="83"/>
      <c r="C69" s="14" t="s">
        <v>117</v>
      </c>
      <c r="D69" s="9" t="s">
        <v>46</v>
      </c>
      <c r="E69" s="11">
        <f>21*5.3</f>
        <v>111.3</v>
      </c>
      <c r="F69" s="11">
        <v>150</v>
      </c>
      <c r="G69" s="12">
        <f t="shared" si="9"/>
        <v>1.6695</v>
      </c>
      <c r="H69" s="13">
        <f t="shared" si="11"/>
        <v>1.6695</v>
      </c>
      <c r="I69" s="30"/>
      <c r="K69" s="5"/>
    </row>
    <row r="70" spans="1:11" ht="24.95" customHeight="1">
      <c r="A70" s="27">
        <v>7</v>
      </c>
      <c r="B70" s="28" t="s">
        <v>118</v>
      </c>
      <c r="C70" s="28" t="s">
        <v>118</v>
      </c>
      <c r="D70" s="27" t="s">
        <v>20</v>
      </c>
      <c r="E70" s="29">
        <f>21.1+32.1</f>
        <v>53.2</v>
      </c>
      <c r="F70" s="29">
        <v>70</v>
      </c>
      <c r="G70" s="12">
        <f t="shared" si="9"/>
        <v>0.37240000000000001</v>
      </c>
      <c r="H70" s="13">
        <f t="shared" si="11"/>
        <v>0.37240000000000001</v>
      </c>
      <c r="I70" s="12"/>
    </row>
    <row r="71" spans="1:11" ht="24.95" customHeight="1">
      <c r="A71" s="27">
        <v>8</v>
      </c>
      <c r="B71" s="28" t="s">
        <v>119</v>
      </c>
      <c r="C71" s="28" t="s">
        <v>120</v>
      </c>
      <c r="D71" s="9" t="s">
        <v>46</v>
      </c>
      <c r="E71" s="11">
        <f>1.2*1.2*9</f>
        <v>12.959999999999999</v>
      </c>
      <c r="F71" s="11">
        <v>150</v>
      </c>
      <c r="G71" s="12">
        <f t="shared" si="9"/>
        <v>0.19439999999999999</v>
      </c>
      <c r="H71" s="13">
        <f t="shared" si="11"/>
        <v>0.19439999999999999</v>
      </c>
      <c r="I71" s="12"/>
    </row>
    <row r="72" spans="1:11" ht="24.95" customHeight="1">
      <c r="A72" s="27">
        <v>9</v>
      </c>
      <c r="B72" s="14" t="s">
        <v>121</v>
      </c>
      <c r="C72" s="14" t="s">
        <v>122</v>
      </c>
      <c r="D72" s="9" t="s">
        <v>46</v>
      </c>
      <c r="E72" s="11">
        <f>7.5*3.5</f>
        <v>26.25</v>
      </c>
      <c r="F72" s="11">
        <v>1600</v>
      </c>
      <c r="G72" s="12">
        <f t="shared" si="9"/>
        <v>4.2</v>
      </c>
      <c r="H72" s="13">
        <f t="shared" si="11"/>
        <v>4.2</v>
      </c>
      <c r="I72" s="12"/>
    </row>
    <row r="73" spans="1:11" s="1" customFormat="1" ht="24.95" customHeight="1">
      <c r="A73" s="27">
        <v>10</v>
      </c>
      <c r="B73" s="14" t="s">
        <v>65</v>
      </c>
      <c r="C73" s="14" t="s">
        <v>123</v>
      </c>
      <c r="D73" s="9" t="s">
        <v>20</v>
      </c>
      <c r="E73" s="11">
        <v>3.4</v>
      </c>
      <c r="F73" s="11">
        <v>550</v>
      </c>
      <c r="G73" s="12">
        <f t="shared" si="9"/>
        <v>0.187</v>
      </c>
      <c r="H73" s="13">
        <f t="shared" si="11"/>
        <v>0.187</v>
      </c>
      <c r="I73" s="12"/>
      <c r="K73" s="5"/>
    </row>
    <row r="74" spans="1:11" s="1" customFormat="1" ht="24.95" customHeight="1">
      <c r="A74" s="19">
        <v>11</v>
      </c>
      <c r="B74" s="16" t="s">
        <v>124</v>
      </c>
      <c r="C74" s="14" t="s">
        <v>125</v>
      </c>
      <c r="D74" s="9" t="s">
        <v>205</v>
      </c>
      <c r="E74" s="11">
        <f>25*6.5*0.2</f>
        <v>32.5</v>
      </c>
      <c r="F74" s="11">
        <v>510</v>
      </c>
      <c r="G74" s="12">
        <f t="shared" si="9"/>
        <v>1.6575</v>
      </c>
      <c r="H74" s="13">
        <f t="shared" si="11"/>
        <v>1.6575</v>
      </c>
      <c r="I74" s="12"/>
      <c r="K74" s="5"/>
    </row>
    <row r="75" spans="1:11" s="1" customFormat="1" ht="24.95" customHeight="1">
      <c r="A75" s="23">
        <v>12</v>
      </c>
      <c r="B75" s="16" t="s">
        <v>126</v>
      </c>
      <c r="C75" s="14" t="s">
        <v>125</v>
      </c>
      <c r="D75" s="9" t="s">
        <v>205</v>
      </c>
      <c r="E75" s="11">
        <f>65*6.5*0.2</f>
        <v>84.5</v>
      </c>
      <c r="F75" s="11">
        <v>510</v>
      </c>
      <c r="G75" s="12">
        <f t="shared" si="9"/>
        <v>4.3094999999999999</v>
      </c>
      <c r="H75" s="13">
        <f t="shared" si="11"/>
        <v>4.3094999999999999</v>
      </c>
      <c r="I75" s="12"/>
      <c r="K75" s="5"/>
    </row>
    <row r="76" spans="1:11" s="1" customFormat="1" ht="24.95" customHeight="1">
      <c r="A76" s="27">
        <v>13</v>
      </c>
      <c r="B76" s="16" t="s">
        <v>127</v>
      </c>
      <c r="C76" s="14" t="s">
        <v>128</v>
      </c>
      <c r="D76" s="14" t="s">
        <v>69</v>
      </c>
      <c r="E76" s="11">
        <v>1</v>
      </c>
      <c r="F76" s="11">
        <v>500</v>
      </c>
      <c r="G76" s="12">
        <f t="shared" si="9"/>
        <v>0.05</v>
      </c>
      <c r="H76" s="13">
        <f t="shared" si="11"/>
        <v>0.05</v>
      </c>
      <c r="I76" s="12"/>
      <c r="K76" s="5"/>
    </row>
    <row r="77" spans="1:11" s="1" customFormat="1" ht="24.95" customHeight="1">
      <c r="A77" s="27">
        <v>14</v>
      </c>
      <c r="B77" s="14" t="s">
        <v>216</v>
      </c>
      <c r="C77" s="14" t="s">
        <v>215</v>
      </c>
      <c r="D77" s="9" t="s">
        <v>205</v>
      </c>
      <c r="E77" s="11">
        <v>258</v>
      </c>
      <c r="F77" s="11">
        <v>7.89</v>
      </c>
      <c r="G77" s="12">
        <f t="shared" si="9"/>
        <v>0.20356199999999999</v>
      </c>
      <c r="H77" s="13">
        <f t="shared" si="11"/>
        <v>0.20356199999999999</v>
      </c>
      <c r="I77" s="12"/>
      <c r="K77" s="5"/>
    </row>
    <row r="78" spans="1:11" s="1" customFormat="1" ht="24.95" customHeight="1">
      <c r="A78" s="27">
        <v>15</v>
      </c>
      <c r="B78" s="14" t="s">
        <v>218</v>
      </c>
      <c r="C78" s="14" t="s">
        <v>217</v>
      </c>
      <c r="D78" s="9" t="s">
        <v>205</v>
      </c>
      <c r="E78" s="11">
        <f>3661.03*0.7</f>
        <v>2562.721</v>
      </c>
      <c r="F78" s="11">
        <v>28.6</v>
      </c>
      <c r="G78" s="12">
        <f t="shared" si="9"/>
        <v>7.3293820600000004</v>
      </c>
      <c r="H78" s="13">
        <f t="shared" si="11"/>
        <v>7.3293820600000004</v>
      </c>
      <c r="I78" s="12"/>
      <c r="K78" s="5"/>
    </row>
    <row r="79" spans="1:11" s="1" customFormat="1" ht="24.95" customHeight="1">
      <c r="A79" s="27">
        <v>16</v>
      </c>
      <c r="B79" s="14" t="s">
        <v>220</v>
      </c>
      <c r="C79" s="14" t="s">
        <v>219</v>
      </c>
      <c r="D79" s="9" t="s">
        <v>46</v>
      </c>
      <c r="E79" s="11">
        <f>50.5*0.35</f>
        <v>17.674999999999997</v>
      </c>
      <c r="F79" s="11">
        <v>80</v>
      </c>
      <c r="G79" s="12">
        <f t="shared" si="9"/>
        <v>0.14139999999999997</v>
      </c>
      <c r="H79" s="13">
        <f t="shared" si="11"/>
        <v>0.14139999999999997</v>
      </c>
      <c r="I79" s="12"/>
      <c r="K79" s="5"/>
    </row>
    <row r="80" spans="1:11" ht="24.95" customHeight="1">
      <c r="A80" s="28" t="s">
        <v>31</v>
      </c>
      <c r="B80" s="14" t="s">
        <v>129</v>
      </c>
      <c r="C80" s="14" t="s">
        <v>130</v>
      </c>
      <c r="D80" s="9"/>
      <c r="E80" s="11"/>
      <c r="F80" s="11"/>
      <c r="G80" s="13">
        <f>SUM(G81:G95)</f>
        <v>42.585360000000009</v>
      </c>
      <c r="H80" s="13">
        <f>G80</f>
        <v>42.585360000000009</v>
      </c>
      <c r="I80" s="12"/>
    </row>
    <row r="81" spans="1:9" ht="24.95" customHeight="1">
      <c r="A81" s="9">
        <v>1</v>
      </c>
      <c r="B81" s="10" t="s">
        <v>131</v>
      </c>
      <c r="C81" s="10" t="s">
        <v>132</v>
      </c>
      <c r="D81" s="14" t="s">
        <v>133</v>
      </c>
      <c r="E81" s="11">
        <v>25</v>
      </c>
      <c r="F81" s="11">
        <v>480</v>
      </c>
      <c r="G81" s="13">
        <f t="shared" ref="G81:G99" si="12">H81</f>
        <v>1.2</v>
      </c>
      <c r="H81" s="31">
        <f t="shared" ref="H81:H95" si="13">E81*F81/10000</f>
        <v>1.2</v>
      </c>
      <c r="I81" s="12"/>
    </row>
    <row r="82" spans="1:9" ht="24.95" customHeight="1">
      <c r="A82" s="9">
        <v>2</v>
      </c>
      <c r="B82" s="10" t="s">
        <v>134</v>
      </c>
      <c r="C82" s="10" t="s">
        <v>132</v>
      </c>
      <c r="D82" s="14" t="s">
        <v>133</v>
      </c>
      <c r="E82" s="11">
        <v>16</v>
      </c>
      <c r="F82" s="11">
        <v>1880</v>
      </c>
      <c r="G82" s="13">
        <f t="shared" si="12"/>
        <v>3.008</v>
      </c>
      <c r="H82" s="31">
        <f t="shared" si="13"/>
        <v>3.008</v>
      </c>
      <c r="I82" s="12"/>
    </row>
    <row r="83" spans="1:9" ht="24.95" customHeight="1">
      <c r="A83" s="9">
        <v>3</v>
      </c>
      <c r="B83" s="10" t="s">
        <v>135</v>
      </c>
      <c r="C83" s="10" t="s">
        <v>132</v>
      </c>
      <c r="D83" s="14" t="s">
        <v>133</v>
      </c>
      <c r="E83" s="11">
        <v>10</v>
      </c>
      <c r="F83" s="11">
        <v>3120</v>
      </c>
      <c r="G83" s="13">
        <f t="shared" si="12"/>
        <v>3.12</v>
      </c>
      <c r="H83" s="31">
        <f t="shared" si="13"/>
        <v>3.12</v>
      </c>
      <c r="I83" s="12"/>
    </row>
    <row r="84" spans="1:9" ht="24.95" customHeight="1">
      <c r="A84" s="9">
        <v>4</v>
      </c>
      <c r="B84" s="10" t="s">
        <v>136</v>
      </c>
      <c r="C84" s="10" t="s">
        <v>132</v>
      </c>
      <c r="D84" s="14" t="s">
        <v>133</v>
      </c>
      <c r="E84" s="11">
        <v>4</v>
      </c>
      <c r="F84" s="11">
        <v>1860</v>
      </c>
      <c r="G84" s="13">
        <f t="shared" si="12"/>
        <v>0.74399999999999999</v>
      </c>
      <c r="H84" s="31">
        <f t="shared" si="13"/>
        <v>0.74399999999999999</v>
      </c>
      <c r="I84" s="12"/>
    </row>
    <row r="85" spans="1:9" ht="24.95" customHeight="1">
      <c r="A85" s="9">
        <v>5</v>
      </c>
      <c r="B85" s="10" t="s">
        <v>137</v>
      </c>
      <c r="C85" s="10" t="s">
        <v>138</v>
      </c>
      <c r="D85" s="14" t="s">
        <v>133</v>
      </c>
      <c r="E85" s="11">
        <v>2</v>
      </c>
      <c r="F85" s="11">
        <v>4200</v>
      </c>
      <c r="G85" s="13">
        <f t="shared" si="12"/>
        <v>0.84</v>
      </c>
      <c r="H85" s="31">
        <f t="shared" si="13"/>
        <v>0.84</v>
      </c>
      <c r="I85" s="12"/>
    </row>
    <row r="86" spans="1:9" ht="24.95" customHeight="1">
      <c r="A86" s="9">
        <v>6</v>
      </c>
      <c r="B86" s="10" t="s">
        <v>139</v>
      </c>
      <c r="C86" s="10" t="s">
        <v>132</v>
      </c>
      <c r="D86" s="14" t="s">
        <v>133</v>
      </c>
      <c r="E86" s="11">
        <v>5</v>
      </c>
      <c r="F86" s="11">
        <v>860</v>
      </c>
      <c r="G86" s="13">
        <f t="shared" si="12"/>
        <v>0.43</v>
      </c>
      <c r="H86" s="31">
        <f t="shared" si="13"/>
        <v>0.43</v>
      </c>
      <c r="I86" s="12"/>
    </row>
    <row r="87" spans="1:9" ht="24.95" customHeight="1">
      <c r="A87" s="9">
        <v>7</v>
      </c>
      <c r="B87" s="10" t="s">
        <v>140</v>
      </c>
      <c r="C87" s="10" t="s">
        <v>132</v>
      </c>
      <c r="D87" s="14" t="s">
        <v>133</v>
      </c>
      <c r="E87" s="11">
        <v>11</v>
      </c>
      <c r="F87" s="11">
        <v>880</v>
      </c>
      <c r="G87" s="13">
        <f t="shared" si="12"/>
        <v>0.96799999999999997</v>
      </c>
      <c r="H87" s="31">
        <f t="shared" si="13"/>
        <v>0.96799999999999997</v>
      </c>
      <c r="I87" s="12"/>
    </row>
    <row r="88" spans="1:9" ht="24.95" customHeight="1">
      <c r="A88" s="9">
        <v>8</v>
      </c>
      <c r="B88" s="10" t="s">
        <v>141</v>
      </c>
      <c r="C88" s="10" t="s">
        <v>132</v>
      </c>
      <c r="D88" s="14" t="s">
        <v>133</v>
      </c>
      <c r="E88" s="11">
        <v>6</v>
      </c>
      <c r="F88" s="11">
        <v>600</v>
      </c>
      <c r="G88" s="13">
        <f t="shared" si="12"/>
        <v>0.36</v>
      </c>
      <c r="H88" s="31">
        <f t="shared" si="13"/>
        <v>0.36</v>
      </c>
      <c r="I88" s="12"/>
    </row>
    <row r="89" spans="1:9" ht="24.95" customHeight="1">
      <c r="A89" s="9">
        <v>9</v>
      </c>
      <c r="B89" s="10" t="s">
        <v>142</v>
      </c>
      <c r="C89" s="10" t="s">
        <v>132</v>
      </c>
      <c r="D89" s="14" t="s">
        <v>133</v>
      </c>
      <c r="E89" s="11">
        <v>6</v>
      </c>
      <c r="F89" s="11">
        <v>750</v>
      </c>
      <c r="G89" s="13">
        <f t="shared" si="12"/>
        <v>0.45</v>
      </c>
      <c r="H89" s="31">
        <f t="shared" si="13"/>
        <v>0.45</v>
      </c>
      <c r="I89" s="12"/>
    </row>
    <row r="90" spans="1:9" ht="24.95" customHeight="1">
      <c r="A90" s="9">
        <v>10</v>
      </c>
      <c r="B90" s="10" t="s">
        <v>143</v>
      </c>
      <c r="C90" s="10" t="s">
        <v>132</v>
      </c>
      <c r="D90" s="14" t="s">
        <v>133</v>
      </c>
      <c r="E90" s="11">
        <v>7</v>
      </c>
      <c r="F90" s="11">
        <v>1280</v>
      </c>
      <c r="G90" s="13">
        <f t="shared" si="12"/>
        <v>0.89600000000000002</v>
      </c>
      <c r="H90" s="31">
        <f t="shared" si="13"/>
        <v>0.89600000000000002</v>
      </c>
      <c r="I90" s="12"/>
    </row>
    <row r="91" spans="1:9" ht="24.95" customHeight="1">
      <c r="A91" s="9">
        <v>11</v>
      </c>
      <c r="B91" s="10" t="s">
        <v>144</v>
      </c>
      <c r="C91" s="10" t="s">
        <v>132</v>
      </c>
      <c r="D91" s="14" t="s">
        <v>133</v>
      </c>
      <c r="E91" s="11">
        <v>37</v>
      </c>
      <c r="F91" s="11">
        <v>860</v>
      </c>
      <c r="G91" s="13">
        <f t="shared" si="12"/>
        <v>3.1819999999999999</v>
      </c>
      <c r="H91" s="31">
        <f t="shared" si="13"/>
        <v>3.1819999999999999</v>
      </c>
      <c r="I91" s="12"/>
    </row>
    <row r="92" spans="1:9" ht="24.95" customHeight="1">
      <c r="A92" s="9">
        <v>12</v>
      </c>
      <c r="B92" s="10" t="s">
        <v>145</v>
      </c>
      <c r="C92" s="10" t="s">
        <v>146</v>
      </c>
      <c r="D92" s="14" t="s">
        <v>133</v>
      </c>
      <c r="E92" s="11">
        <v>20</v>
      </c>
      <c r="F92" s="11">
        <v>200</v>
      </c>
      <c r="G92" s="13">
        <f t="shared" si="12"/>
        <v>0.4</v>
      </c>
      <c r="H92" s="31">
        <f t="shared" si="13"/>
        <v>0.4</v>
      </c>
      <c r="I92" s="12"/>
    </row>
    <row r="93" spans="1:9" ht="24.95" customHeight="1">
      <c r="A93" s="9">
        <v>13</v>
      </c>
      <c r="B93" s="10" t="s">
        <v>147</v>
      </c>
      <c r="C93" s="10" t="s">
        <v>148</v>
      </c>
      <c r="D93" s="14" t="s">
        <v>46</v>
      </c>
      <c r="E93" s="11">
        <v>100</v>
      </c>
      <c r="F93" s="11">
        <v>70</v>
      </c>
      <c r="G93" s="13">
        <f t="shared" si="12"/>
        <v>0.7</v>
      </c>
      <c r="H93" s="31">
        <f t="shared" si="13"/>
        <v>0.7</v>
      </c>
      <c r="I93" s="12"/>
    </row>
    <row r="94" spans="1:9" ht="24.95" customHeight="1">
      <c r="A94" s="9">
        <v>14</v>
      </c>
      <c r="B94" s="10" t="s">
        <v>149</v>
      </c>
      <c r="C94" s="10" t="s">
        <v>150</v>
      </c>
      <c r="D94" s="14" t="s">
        <v>46</v>
      </c>
      <c r="E94" s="11">
        <v>2190.8000000000002</v>
      </c>
      <c r="F94" s="11">
        <v>112</v>
      </c>
      <c r="G94" s="13">
        <f t="shared" si="12"/>
        <v>24.536960000000004</v>
      </c>
      <c r="H94" s="31">
        <f t="shared" si="13"/>
        <v>24.536960000000004</v>
      </c>
      <c r="I94" s="12"/>
    </row>
    <row r="95" spans="1:9" ht="24.95" customHeight="1">
      <c r="A95" s="9">
        <v>16</v>
      </c>
      <c r="B95" s="14" t="s">
        <v>151</v>
      </c>
      <c r="C95" s="14" t="s">
        <v>152</v>
      </c>
      <c r="D95" s="9" t="s">
        <v>20</v>
      </c>
      <c r="E95" s="11">
        <v>218.8</v>
      </c>
      <c r="F95" s="11">
        <v>80</v>
      </c>
      <c r="G95" s="13">
        <f t="shared" si="12"/>
        <v>1.7504</v>
      </c>
      <c r="H95" s="31">
        <f t="shared" si="13"/>
        <v>1.7504</v>
      </c>
      <c r="I95" s="9"/>
    </row>
    <row r="96" spans="1:9" ht="24.95" customHeight="1">
      <c r="A96" s="25" t="s">
        <v>153</v>
      </c>
      <c r="B96" s="25" t="s">
        <v>154</v>
      </c>
      <c r="C96" s="14" t="s">
        <v>209</v>
      </c>
      <c r="D96" s="9"/>
      <c r="E96" s="11"/>
      <c r="F96" s="11"/>
      <c r="G96" s="13">
        <f t="shared" si="12"/>
        <v>60.576107200000003</v>
      </c>
      <c r="H96" s="13">
        <f>H97+H100+H138</f>
        <v>60.576107200000003</v>
      </c>
      <c r="I96" s="9"/>
    </row>
    <row r="97" spans="1:9" ht="24.95" customHeight="1">
      <c r="A97" s="14" t="s">
        <v>8</v>
      </c>
      <c r="B97" s="14" t="s">
        <v>156</v>
      </c>
      <c r="C97" s="14" t="s">
        <v>155</v>
      </c>
      <c r="D97" s="9"/>
      <c r="E97" s="11"/>
      <c r="F97" s="11"/>
      <c r="G97" s="13">
        <f t="shared" si="12"/>
        <v>27.301300000000001</v>
      </c>
      <c r="H97" s="13">
        <f>H98+H99</f>
        <v>27.301300000000001</v>
      </c>
      <c r="I97" s="9"/>
    </row>
    <row r="98" spans="1:9" ht="24.95" customHeight="1">
      <c r="A98" s="80">
        <v>1</v>
      </c>
      <c r="B98" s="83" t="s">
        <v>156</v>
      </c>
      <c r="C98" s="14" t="s">
        <v>157</v>
      </c>
      <c r="D98" s="9" t="s">
        <v>46</v>
      </c>
      <c r="E98" s="11">
        <f>50.5*3.7</f>
        <v>186.85000000000002</v>
      </c>
      <c r="F98" s="11">
        <v>1300</v>
      </c>
      <c r="G98" s="13">
        <f t="shared" si="12"/>
        <v>24.290500000000002</v>
      </c>
      <c r="H98" s="13">
        <f>E98*F98/10000</f>
        <v>24.290500000000002</v>
      </c>
      <c r="I98" s="9"/>
    </row>
    <row r="99" spans="1:9" ht="24.95" customHeight="1">
      <c r="A99" s="80"/>
      <c r="B99" s="83"/>
      <c r="C99" s="10" t="s">
        <v>158</v>
      </c>
      <c r="D99" s="9" t="s">
        <v>20</v>
      </c>
      <c r="E99" s="11">
        <f>50.5*2+3.7*4</f>
        <v>115.8</v>
      </c>
      <c r="F99" s="11">
        <v>260</v>
      </c>
      <c r="G99" s="13">
        <f t="shared" si="12"/>
        <v>3.0108000000000001</v>
      </c>
      <c r="H99" s="13">
        <f>E99*F99/10000</f>
        <v>3.0108000000000001</v>
      </c>
      <c r="I99" s="9"/>
    </row>
    <row r="100" spans="1:9" ht="24.95" customHeight="1">
      <c r="A100" s="14" t="s">
        <v>31</v>
      </c>
      <c r="B100" s="14" t="s">
        <v>159</v>
      </c>
      <c r="C100" s="14" t="s">
        <v>160</v>
      </c>
      <c r="D100" s="9" t="s">
        <v>46</v>
      </c>
      <c r="E100" s="11">
        <v>971.11</v>
      </c>
      <c r="F100" s="11">
        <v>320</v>
      </c>
      <c r="G100" s="13">
        <f>G101+G112+G125+G131+G137</f>
        <v>31.0744872</v>
      </c>
      <c r="H100" s="13">
        <f t="shared" ref="H100:H138" si="14">G100</f>
        <v>31.0744872</v>
      </c>
      <c r="I100" s="9"/>
    </row>
    <row r="101" spans="1:9" ht="24.95" customHeight="1">
      <c r="A101" s="14">
        <v>1</v>
      </c>
      <c r="B101" s="32" t="s">
        <v>161</v>
      </c>
      <c r="C101" s="32" t="s">
        <v>162</v>
      </c>
      <c r="D101" s="32"/>
      <c r="E101" s="67"/>
      <c r="F101" s="67"/>
      <c r="G101" s="57">
        <f>SUM(G102:G111)</f>
        <v>11.285947200000003</v>
      </c>
      <c r="H101" s="35">
        <f t="shared" si="14"/>
        <v>11.285947200000003</v>
      </c>
      <c r="I101" s="9"/>
    </row>
    <row r="102" spans="1:9" ht="24.95" customHeight="1">
      <c r="A102" s="14"/>
      <c r="B102" s="37"/>
      <c r="C102" s="33" t="s">
        <v>163</v>
      </c>
      <c r="D102" s="33" t="s">
        <v>164</v>
      </c>
      <c r="E102" s="67">
        <v>1</v>
      </c>
      <c r="F102" s="67">
        <v>600</v>
      </c>
      <c r="G102" s="34">
        <f t="shared" ref="G102:G111" si="15">E102*F102/10000</f>
        <v>0.06</v>
      </c>
      <c r="H102" s="35">
        <f t="shared" si="14"/>
        <v>0.06</v>
      </c>
      <c r="I102" s="9"/>
    </row>
    <row r="103" spans="1:9" ht="24.95" customHeight="1">
      <c r="A103" s="14"/>
      <c r="B103" s="37"/>
      <c r="C103" s="33" t="s">
        <v>165</v>
      </c>
      <c r="D103" s="36" t="s">
        <v>16</v>
      </c>
      <c r="E103" s="67">
        <v>3</v>
      </c>
      <c r="F103" s="67">
        <v>160</v>
      </c>
      <c r="G103" s="34">
        <f t="shared" si="15"/>
        <v>4.8000000000000001E-2</v>
      </c>
      <c r="H103" s="35">
        <f t="shared" si="14"/>
        <v>4.8000000000000001E-2</v>
      </c>
      <c r="I103" s="9"/>
    </row>
    <row r="104" spans="1:9" ht="24.95" customHeight="1">
      <c r="A104" s="14"/>
      <c r="B104" s="37"/>
      <c r="C104" s="37" t="s">
        <v>166</v>
      </c>
      <c r="D104" s="37" t="s">
        <v>16</v>
      </c>
      <c r="E104" s="68">
        <v>479</v>
      </c>
      <c r="F104" s="68">
        <v>170.63</v>
      </c>
      <c r="G104" s="38">
        <f t="shared" si="15"/>
        <v>8.1731770000000008</v>
      </c>
      <c r="H104" s="35">
        <f t="shared" si="14"/>
        <v>8.1731770000000008</v>
      </c>
      <c r="I104" s="9"/>
    </row>
    <row r="105" spans="1:9" ht="24.95" customHeight="1">
      <c r="A105" s="14"/>
      <c r="B105" s="37"/>
      <c r="C105" s="33" t="s">
        <v>167</v>
      </c>
      <c r="D105" s="33" t="s">
        <v>20</v>
      </c>
      <c r="E105" s="67">
        <v>9.66</v>
      </c>
      <c r="F105" s="67">
        <v>580</v>
      </c>
      <c r="G105" s="34">
        <f t="shared" si="15"/>
        <v>0.56028</v>
      </c>
      <c r="H105" s="35">
        <f t="shared" si="14"/>
        <v>0.56028</v>
      </c>
      <c r="I105" s="9"/>
    </row>
    <row r="106" spans="1:9" ht="24.95" customHeight="1">
      <c r="A106" s="14"/>
      <c r="B106" s="37"/>
      <c r="C106" s="33" t="s">
        <v>168</v>
      </c>
      <c r="D106" s="33" t="s">
        <v>16</v>
      </c>
      <c r="E106" s="67">
        <v>798.7</v>
      </c>
      <c r="F106" s="67">
        <v>6.34</v>
      </c>
      <c r="G106" s="34">
        <f t="shared" si="15"/>
        <v>0.50637579999999993</v>
      </c>
      <c r="H106" s="35">
        <f t="shared" si="14"/>
        <v>0.50637579999999993</v>
      </c>
      <c r="I106" s="9"/>
    </row>
    <row r="107" spans="1:9" ht="24.95" customHeight="1">
      <c r="A107" s="14"/>
      <c r="B107" s="37"/>
      <c r="C107" s="33" t="s">
        <v>169</v>
      </c>
      <c r="D107" s="33" t="s">
        <v>16</v>
      </c>
      <c r="E107" s="67">
        <v>798.7</v>
      </c>
      <c r="F107" s="67">
        <v>7.92</v>
      </c>
      <c r="G107" s="34">
        <f t="shared" si="15"/>
        <v>0.63257040000000009</v>
      </c>
      <c r="H107" s="35">
        <f t="shared" si="14"/>
        <v>0.63257040000000009</v>
      </c>
      <c r="I107" s="9"/>
    </row>
    <row r="108" spans="1:9" ht="24.95" customHeight="1">
      <c r="A108" s="14"/>
      <c r="B108" s="37"/>
      <c r="C108" s="33" t="s">
        <v>170</v>
      </c>
      <c r="D108" s="33" t="s">
        <v>16</v>
      </c>
      <c r="E108" s="67">
        <v>736</v>
      </c>
      <c r="F108" s="67">
        <v>8.7899999999999991</v>
      </c>
      <c r="G108" s="34">
        <f t="shared" si="15"/>
        <v>0.64694399999999996</v>
      </c>
      <c r="H108" s="35">
        <f t="shared" si="14"/>
        <v>0.64694399999999996</v>
      </c>
      <c r="I108" s="9"/>
    </row>
    <row r="109" spans="1:9" ht="24.95" customHeight="1">
      <c r="A109" s="14"/>
      <c r="B109" s="37"/>
      <c r="C109" s="33" t="s">
        <v>171</v>
      </c>
      <c r="D109" s="33" t="s">
        <v>164</v>
      </c>
      <c r="E109" s="67">
        <v>1</v>
      </c>
      <c r="F109" s="67">
        <v>1500</v>
      </c>
      <c r="G109" s="34">
        <f t="shared" si="15"/>
        <v>0.15</v>
      </c>
      <c r="H109" s="35">
        <f t="shared" si="14"/>
        <v>0.15</v>
      </c>
      <c r="I109" s="9"/>
    </row>
    <row r="110" spans="1:9" ht="24.95" customHeight="1">
      <c r="A110" s="14"/>
      <c r="B110" s="37"/>
      <c r="C110" s="33" t="s">
        <v>172</v>
      </c>
      <c r="D110" s="33" t="s">
        <v>164</v>
      </c>
      <c r="E110" s="67">
        <v>1</v>
      </c>
      <c r="F110" s="67">
        <v>2600</v>
      </c>
      <c r="G110" s="34">
        <f t="shared" si="15"/>
        <v>0.26</v>
      </c>
      <c r="H110" s="35">
        <f t="shared" si="14"/>
        <v>0.26</v>
      </c>
      <c r="I110" s="9"/>
    </row>
    <row r="111" spans="1:9" ht="24.95" customHeight="1">
      <c r="A111" s="14"/>
      <c r="B111" s="37"/>
      <c r="C111" s="33" t="s">
        <v>173</v>
      </c>
      <c r="D111" s="33" t="s">
        <v>24</v>
      </c>
      <c r="E111" s="67">
        <v>113</v>
      </c>
      <c r="F111" s="67">
        <v>22</v>
      </c>
      <c r="G111" s="34">
        <f t="shared" si="15"/>
        <v>0.24859999999999999</v>
      </c>
      <c r="H111" s="35">
        <f t="shared" si="14"/>
        <v>0.24859999999999999</v>
      </c>
      <c r="I111" s="9"/>
    </row>
    <row r="112" spans="1:9" ht="24.95" customHeight="1">
      <c r="A112" s="14">
        <v>2</v>
      </c>
      <c r="B112" s="37" t="s">
        <v>174</v>
      </c>
      <c r="C112" s="32" t="s">
        <v>174</v>
      </c>
      <c r="D112" s="39"/>
      <c r="E112" s="58"/>
      <c r="F112" s="58"/>
      <c r="G112" s="35">
        <f>SUM(G113:G124)</f>
        <v>13.3467</v>
      </c>
      <c r="H112" s="35">
        <f t="shared" si="14"/>
        <v>13.3467</v>
      </c>
      <c r="I112" s="9"/>
    </row>
    <row r="113" spans="1:9" ht="24.95" customHeight="1">
      <c r="A113" s="14"/>
      <c r="B113" s="14"/>
      <c r="C113" s="40" t="s">
        <v>207</v>
      </c>
      <c r="D113" s="40" t="s">
        <v>175</v>
      </c>
      <c r="E113" s="54">
        <v>20</v>
      </c>
      <c r="F113" s="54">
        <v>160</v>
      </c>
      <c r="G113" s="41">
        <f t="shared" ref="G113:G124" si="16">E113*F113/10000</f>
        <v>0.32</v>
      </c>
      <c r="H113" s="35">
        <f t="shared" si="14"/>
        <v>0.32</v>
      </c>
      <c r="I113" s="9"/>
    </row>
    <row r="114" spans="1:9" ht="24.95" customHeight="1">
      <c r="A114" s="14"/>
      <c r="B114" s="14"/>
      <c r="C114" s="40" t="s">
        <v>176</v>
      </c>
      <c r="D114" s="40" t="s">
        <v>177</v>
      </c>
      <c r="E114" s="54">
        <v>1</v>
      </c>
      <c r="F114" s="54">
        <v>7899</v>
      </c>
      <c r="G114" s="41">
        <f t="shared" si="16"/>
        <v>0.78990000000000005</v>
      </c>
      <c r="H114" s="35">
        <f t="shared" si="14"/>
        <v>0.78990000000000005</v>
      </c>
      <c r="I114" s="9"/>
    </row>
    <row r="115" spans="1:9" ht="24.95" customHeight="1">
      <c r="A115" s="14"/>
      <c r="B115" s="14"/>
      <c r="C115" s="40" t="s">
        <v>178</v>
      </c>
      <c r="D115" s="40" t="s">
        <v>179</v>
      </c>
      <c r="E115" s="54">
        <v>1</v>
      </c>
      <c r="F115" s="54">
        <v>1238</v>
      </c>
      <c r="G115" s="41">
        <f t="shared" si="16"/>
        <v>0.12379999999999999</v>
      </c>
      <c r="H115" s="35">
        <f t="shared" si="14"/>
        <v>0.12379999999999999</v>
      </c>
      <c r="I115" s="9"/>
    </row>
    <row r="116" spans="1:9" ht="24.95" customHeight="1">
      <c r="A116" s="14"/>
      <c r="B116" s="14"/>
      <c r="C116" s="42" t="s">
        <v>180</v>
      </c>
      <c r="D116" s="43" t="s">
        <v>181</v>
      </c>
      <c r="E116" s="69">
        <v>45</v>
      </c>
      <c r="F116" s="69">
        <v>3</v>
      </c>
      <c r="G116" s="41">
        <f t="shared" si="16"/>
        <v>1.35E-2</v>
      </c>
      <c r="H116" s="35">
        <f t="shared" si="14"/>
        <v>1.35E-2</v>
      </c>
      <c r="I116" s="9"/>
    </row>
    <row r="117" spans="1:9" ht="24.95" customHeight="1">
      <c r="A117" s="14"/>
      <c r="B117" s="14"/>
      <c r="C117" s="42" t="s">
        <v>182</v>
      </c>
      <c r="D117" s="43" t="s">
        <v>181</v>
      </c>
      <c r="E117" s="69">
        <v>350</v>
      </c>
      <c r="F117" s="69">
        <v>3</v>
      </c>
      <c r="G117" s="41">
        <f t="shared" si="16"/>
        <v>0.105</v>
      </c>
      <c r="H117" s="35">
        <f t="shared" si="14"/>
        <v>0.105</v>
      </c>
      <c r="I117" s="9"/>
    </row>
    <row r="118" spans="1:9" ht="24.95" customHeight="1">
      <c r="A118" s="14"/>
      <c r="B118" s="14"/>
      <c r="C118" s="42" t="s">
        <v>183</v>
      </c>
      <c r="D118" s="43" t="s">
        <v>16</v>
      </c>
      <c r="E118" s="69">
        <v>3.2</v>
      </c>
      <c r="F118" s="69">
        <v>260</v>
      </c>
      <c r="G118" s="41">
        <f t="shared" si="16"/>
        <v>8.3199999999999996E-2</v>
      </c>
      <c r="H118" s="35">
        <f t="shared" si="14"/>
        <v>8.3199999999999996E-2</v>
      </c>
      <c r="I118" s="9"/>
    </row>
    <row r="119" spans="1:9" ht="24.95" customHeight="1">
      <c r="A119" s="14"/>
      <c r="B119" s="14"/>
      <c r="C119" s="42" t="s">
        <v>184</v>
      </c>
      <c r="D119" s="43" t="s">
        <v>16</v>
      </c>
      <c r="E119" s="69">
        <v>17</v>
      </c>
      <c r="F119" s="69">
        <v>560</v>
      </c>
      <c r="G119" s="41">
        <f t="shared" si="16"/>
        <v>0.95199999999999996</v>
      </c>
      <c r="H119" s="35">
        <f t="shared" si="14"/>
        <v>0.95199999999999996</v>
      </c>
      <c r="I119" s="9"/>
    </row>
    <row r="120" spans="1:9" ht="24.95" customHeight="1">
      <c r="A120" s="14"/>
      <c r="B120" s="14"/>
      <c r="C120" s="42" t="s">
        <v>185</v>
      </c>
      <c r="D120" s="43" t="s">
        <v>181</v>
      </c>
      <c r="E120" s="69">
        <v>17</v>
      </c>
      <c r="F120" s="69">
        <v>135</v>
      </c>
      <c r="G120" s="41">
        <f t="shared" si="16"/>
        <v>0.22950000000000001</v>
      </c>
      <c r="H120" s="35">
        <f t="shared" si="14"/>
        <v>0.22950000000000001</v>
      </c>
      <c r="I120" s="9"/>
    </row>
    <row r="121" spans="1:9" ht="24.95" customHeight="1">
      <c r="A121" s="14"/>
      <c r="B121" s="14"/>
      <c r="C121" s="42" t="s">
        <v>186</v>
      </c>
      <c r="D121" s="43" t="s">
        <v>181</v>
      </c>
      <c r="E121" s="69">
        <v>8</v>
      </c>
      <c r="F121" s="69">
        <v>90</v>
      </c>
      <c r="G121" s="41">
        <f t="shared" si="16"/>
        <v>7.1999999999999995E-2</v>
      </c>
      <c r="H121" s="35">
        <f t="shared" si="14"/>
        <v>7.1999999999999995E-2</v>
      </c>
      <c r="I121" s="9"/>
    </row>
    <row r="122" spans="1:9" ht="24.95" customHeight="1">
      <c r="A122" s="14"/>
      <c r="B122" s="14"/>
      <c r="C122" s="42" t="s">
        <v>187</v>
      </c>
      <c r="D122" s="43" t="s">
        <v>181</v>
      </c>
      <c r="E122" s="69">
        <v>19</v>
      </c>
      <c r="F122" s="69">
        <v>180</v>
      </c>
      <c r="G122" s="41">
        <f t="shared" si="16"/>
        <v>0.34200000000000003</v>
      </c>
      <c r="H122" s="35">
        <f t="shared" si="14"/>
        <v>0.34200000000000003</v>
      </c>
      <c r="I122" s="9"/>
    </row>
    <row r="123" spans="1:9" ht="24.95" customHeight="1">
      <c r="A123" s="14"/>
      <c r="B123" s="14"/>
      <c r="C123" s="42" t="s">
        <v>183</v>
      </c>
      <c r="D123" s="43" t="s">
        <v>181</v>
      </c>
      <c r="E123" s="69">
        <v>18</v>
      </c>
      <c r="F123" s="69">
        <v>159</v>
      </c>
      <c r="G123" s="41">
        <f t="shared" si="16"/>
        <v>0.28620000000000001</v>
      </c>
      <c r="H123" s="35">
        <f t="shared" si="14"/>
        <v>0.28620000000000001</v>
      </c>
      <c r="I123" s="9"/>
    </row>
    <row r="124" spans="1:9" ht="24.95" customHeight="1">
      <c r="A124" s="14"/>
      <c r="B124" s="14"/>
      <c r="C124" s="44" t="s">
        <v>188</v>
      </c>
      <c r="D124" s="45" t="s">
        <v>16</v>
      </c>
      <c r="E124" s="70">
        <v>208.95</v>
      </c>
      <c r="F124" s="70">
        <v>480</v>
      </c>
      <c r="G124" s="46">
        <f t="shared" si="16"/>
        <v>10.0296</v>
      </c>
      <c r="H124" s="35">
        <f t="shared" si="14"/>
        <v>10.0296</v>
      </c>
      <c r="I124" s="9"/>
    </row>
    <row r="125" spans="1:9" ht="24.95" customHeight="1">
      <c r="A125" s="14">
        <v>3</v>
      </c>
      <c r="B125" s="14" t="s">
        <v>189</v>
      </c>
      <c r="C125" s="14" t="s">
        <v>189</v>
      </c>
      <c r="D125" s="9"/>
      <c r="E125" s="11"/>
      <c r="F125" s="11"/>
      <c r="G125" s="13">
        <f>SUM(G126:G130)</f>
        <v>2.9799999999999995</v>
      </c>
      <c r="H125" s="35">
        <f t="shared" si="14"/>
        <v>2.9799999999999995</v>
      </c>
      <c r="I125" s="9"/>
    </row>
    <row r="126" spans="1:9" ht="24.95" customHeight="1">
      <c r="A126" s="14"/>
      <c r="B126" s="14"/>
      <c r="C126" s="40" t="s">
        <v>190</v>
      </c>
      <c r="D126" s="47" t="s">
        <v>24</v>
      </c>
      <c r="E126" s="54">
        <v>10</v>
      </c>
      <c r="F126" s="54">
        <v>360</v>
      </c>
      <c r="G126" s="48">
        <f t="shared" ref="G126:G130" si="17">E126*F126/10000</f>
        <v>0.36</v>
      </c>
      <c r="H126" s="35">
        <f t="shared" si="14"/>
        <v>0.36</v>
      </c>
      <c r="I126" s="9"/>
    </row>
    <row r="127" spans="1:9" ht="24.95" customHeight="1">
      <c r="A127" s="14"/>
      <c r="B127" s="14"/>
      <c r="C127" s="47" t="s">
        <v>191</v>
      </c>
      <c r="D127" s="47" t="s">
        <v>24</v>
      </c>
      <c r="E127" s="54">
        <v>18</v>
      </c>
      <c r="F127" s="54">
        <v>300</v>
      </c>
      <c r="G127" s="48">
        <f t="shared" si="17"/>
        <v>0.54</v>
      </c>
      <c r="H127" s="35">
        <f t="shared" si="14"/>
        <v>0.54</v>
      </c>
      <c r="I127" s="9"/>
    </row>
    <row r="128" spans="1:9" ht="24.95" customHeight="1">
      <c r="A128" s="22"/>
      <c r="B128" s="22"/>
      <c r="C128" s="47" t="s">
        <v>192</v>
      </c>
      <c r="D128" s="47" t="s">
        <v>193</v>
      </c>
      <c r="E128" s="54">
        <v>10</v>
      </c>
      <c r="F128" s="54">
        <v>1400</v>
      </c>
      <c r="G128" s="48">
        <f t="shared" si="17"/>
        <v>1.4</v>
      </c>
      <c r="H128" s="35">
        <f t="shared" si="14"/>
        <v>1.4</v>
      </c>
      <c r="I128" s="22"/>
    </row>
    <row r="129" spans="1:9" ht="24.95" customHeight="1">
      <c r="A129" s="22"/>
      <c r="B129" s="22"/>
      <c r="C129" s="47" t="s">
        <v>194</v>
      </c>
      <c r="D129" s="47" t="s">
        <v>164</v>
      </c>
      <c r="E129" s="54">
        <v>1</v>
      </c>
      <c r="F129" s="54">
        <v>4000</v>
      </c>
      <c r="G129" s="48">
        <f t="shared" si="17"/>
        <v>0.4</v>
      </c>
      <c r="H129" s="35">
        <f t="shared" si="14"/>
        <v>0.4</v>
      </c>
      <c r="I129" s="22"/>
    </row>
    <row r="130" spans="1:9" ht="24.95" customHeight="1">
      <c r="A130" s="22"/>
      <c r="B130" s="22"/>
      <c r="C130" s="47" t="s">
        <v>195</v>
      </c>
      <c r="D130" s="47" t="s">
        <v>196</v>
      </c>
      <c r="E130" s="54">
        <v>20</v>
      </c>
      <c r="F130" s="54">
        <v>140</v>
      </c>
      <c r="G130" s="48">
        <f t="shared" si="17"/>
        <v>0.28000000000000003</v>
      </c>
      <c r="H130" s="35">
        <f t="shared" si="14"/>
        <v>0.28000000000000003</v>
      </c>
      <c r="I130" s="22"/>
    </row>
    <row r="131" spans="1:9" ht="24.95" customHeight="1">
      <c r="A131" s="59">
        <v>4</v>
      </c>
      <c r="B131" s="59" t="s">
        <v>197</v>
      </c>
      <c r="C131" s="59" t="s">
        <v>197</v>
      </c>
      <c r="D131" s="22"/>
      <c r="E131" s="66"/>
      <c r="F131" s="66"/>
      <c r="G131" s="49">
        <f>SUM(G132:G136)</f>
        <v>3.3818400000000004</v>
      </c>
      <c r="H131" s="35">
        <f t="shared" si="14"/>
        <v>3.3818400000000004</v>
      </c>
      <c r="I131" s="22"/>
    </row>
    <row r="132" spans="1:9" ht="24.95" customHeight="1">
      <c r="A132" s="22"/>
      <c r="B132" s="22"/>
      <c r="C132" s="50" t="s">
        <v>186</v>
      </c>
      <c r="D132" s="51" t="s">
        <v>16</v>
      </c>
      <c r="E132" s="54">
        <v>32</v>
      </c>
      <c r="F132" s="54">
        <v>640</v>
      </c>
      <c r="G132" s="41">
        <f t="shared" ref="G132:G137" si="18">E132*F132/10000</f>
        <v>2.048</v>
      </c>
      <c r="H132" s="35">
        <f t="shared" si="14"/>
        <v>2.048</v>
      </c>
      <c r="I132" s="22"/>
    </row>
    <row r="133" spans="1:9" ht="24.95" customHeight="1">
      <c r="A133" s="22"/>
      <c r="B133" s="22"/>
      <c r="C133" s="50" t="s">
        <v>198</v>
      </c>
      <c r="D133" s="51" t="s">
        <v>16</v>
      </c>
      <c r="E133" s="54">
        <v>7.56</v>
      </c>
      <c r="F133" s="54">
        <v>640</v>
      </c>
      <c r="G133" s="41">
        <f t="shared" si="18"/>
        <v>0.48383999999999994</v>
      </c>
      <c r="H133" s="35">
        <f t="shared" si="14"/>
        <v>0.48383999999999994</v>
      </c>
      <c r="I133" s="22"/>
    </row>
    <row r="134" spans="1:9" ht="24.95" customHeight="1">
      <c r="A134" s="22"/>
      <c r="B134" s="22"/>
      <c r="C134" s="50" t="s">
        <v>199</v>
      </c>
      <c r="D134" s="51" t="s">
        <v>164</v>
      </c>
      <c r="E134" s="54">
        <v>1</v>
      </c>
      <c r="F134" s="54">
        <v>2000</v>
      </c>
      <c r="G134" s="41">
        <f t="shared" si="18"/>
        <v>0.2</v>
      </c>
      <c r="H134" s="35">
        <f t="shared" si="14"/>
        <v>0.2</v>
      </c>
      <c r="I134" s="22"/>
    </row>
    <row r="135" spans="1:9" ht="24.95" customHeight="1">
      <c r="A135" s="22"/>
      <c r="B135" s="22"/>
      <c r="C135" s="50" t="s">
        <v>200</v>
      </c>
      <c r="D135" s="50" t="s">
        <v>24</v>
      </c>
      <c r="E135" s="54">
        <v>9</v>
      </c>
      <c r="F135" s="54">
        <v>500</v>
      </c>
      <c r="G135" s="41">
        <f t="shared" si="18"/>
        <v>0.45</v>
      </c>
      <c r="H135" s="35">
        <f t="shared" si="14"/>
        <v>0.45</v>
      </c>
      <c r="I135" s="22"/>
    </row>
    <row r="136" spans="1:9" ht="24.95" customHeight="1">
      <c r="A136" s="22"/>
      <c r="B136" s="22"/>
      <c r="C136" s="50" t="s">
        <v>201</v>
      </c>
      <c r="D136" s="50" t="s">
        <v>164</v>
      </c>
      <c r="E136" s="54">
        <v>1</v>
      </c>
      <c r="F136" s="54">
        <v>2000</v>
      </c>
      <c r="G136" s="41">
        <f t="shared" si="18"/>
        <v>0.2</v>
      </c>
      <c r="H136" s="35">
        <f t="shared" si="14"/>
        <v>0.2</v>
      </c>
      <c r="I136" s="22"/>
    </row>
    <row r="137" spans="1:9" ht="24.95" customHeight="1">
      <c r="A137" s="59">
        <v>5</v>
      </c>
      <c r="B137" s="59" t="s">
        <v>202</v>
      </c>
      <c r="C137" s="42" t="s">
        <v>202</v>
      </c>
      <c r="D137" s="43" t="s">
        <v>164</v>
      </c>
      <c r="E137" s="69">
        <v>1</v>
      </c>
      <c r="F137" s="69">
        <v>800</v>
      </c>
      <c r="G137" s="60">
        <f t="shared" si="18"/>
        <v>0.08</v>
      </c>
      <c r="H137" s="35">
        <f t="shared" si="14"/>
        <v>0.08</v>
      </c>
      <c r="I137" s="22"/>
    </row>
    <row r="138" spans="1:9" ht="24.95" customHeight="1">
      <c r="A138" s="40" t="s">
        <v>203</v>
      </c>
      <c r="B138" s="40" t="s">
        <v>204</v>
      </c>
      <c r="C138" s="40" t="s">
        <v>208</v>
      </c>
      <c r="D138" s="61" t="s">
        <v>46</v>
      </c>
      <c r="E138" s="69">
        <v>48</v>
      </c>
      <c r="F138" s="69">
        <v>458.4</v>
      </c>
      <c r="G138" s="62">
        <f>F138*E138/10000</f>
        <v>2.2003199999999996</v>
      </c>
      <c r="H138" s="62">
        <f t="shared" si="14"/>
        <v>2.2003199999999996</v>
      </c>
      <c r="I138" s="52"/>
    </row>
  </sheetData>
  <mergeCells count="23">
    <mergeCell ref="A60:A64"/>
    <mergeCell ref="A68:A69"/>
    <mergeCell ref="A98:A99"/>
    <mergeCell ref="B2:B3"/>
    <mergeCell ref="B7:B8"/>
    <mergeCell ref="B19:B20"/>
    <mergeCell ref="B38:B39"/>
    <mergeCell ref="B48:B59"/>
    <mergeCell ref="B60:B64"/>
    <mergeCell ref="B68:B69"/>
    <mergeCell ref="B98:B99"/>
    <mergeCell ref="A1:I1"/>
    <mergeCell ref="A2:A3"/>
    <mergeCell ref="A19:A20"/>
    <mergeCell ref="A38:A39"/>
    <mergeCell ref="A48:A59"/>
    <mergeCell ref="C2:C3"/>
    <mergeCell ref="D2:D3"/>
    <mergeCell ref="E2:E3"/>
    <mergeCell ref="F2:F3"/>
    <mergeCell ref="G2:G3"/>
    <mergeCell ref="H2:H3"/>
    <mergeCell ref="I2:I3"/>
  </mergeCells>
  <phoneticPr fontId="14" type="noConversion"/>
  <printOptions horizontalCentered="1"/>
  <pageMargins left="1.1023622047244095" right="1.1023622047244095" top="0.98425196850393704" bottom="0.98425196850393704" header="0" footer="0"/>
  <pageSetup paperSize="9" scale="70" orientation="landscape" r:id="rId1"/>
  <headerFooter scaleWithDoc="0" alignWithMargins="0">
    <oddFooter>&amp;C第&amp;P页，总&amp;N页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光禄居委会</vt:lpstr>
      <vt:lpstr>光禄居委会!Print_Area</vt:lpstr>
      <vt:lpstr>光禄居委会!Print_Titles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武誉华</cp:lastModifiedBy>
  <cp:lastPrinted>2018-04-03T02:21:15Z</cp:lastPrinted>
  <dcterms:created xsi:type="dcterms:W3CDTF">2018-04-02T08:50:34Z</dcterms:created>
  <dcterms:modified xsi:type="dcterms:W3CDTF">2018-04-03T02:21:30Z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